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095" windowHeight="7500"/>
  </bookViews>
  <sheets>
    <sheet name="Passenger Traffic" sheetId="1" r:id="rId1"/>
    <sheet name="Aircraft Movement" sheetId="2" r:id="rId2"/>
    <sheet name="Cargo" sheetId="3" r:id="rId3"/>
  </sheets>
  <definedNames>
    <definedName name="_xlnm.Print_Area" localSheetId="0">'Passenger Traffic'!$A$1:$O$41</definedName>
  </definedNames>
  <calcPr calcId="162913"/>
</workbook>
</file>

<file path=xl/calcChain.xml><?xml version="1.0" encoding="utf-8"?>
<calcChain xmlns="http://schemas.openxmlformats.org/spreadsheetml/2006/main">
  <c r="G41" i="2" l="1"/>
  <c r="L20" i="3" l="1"/>
  <c r="L21" i="3"/>
  <c r="L22" i="3"/>
  <c r="K20" i="3"/>
  <c r="M20" i="3" s="1"/>
  <c r="O20" i="3" s="1"/>
  <c r="K21" i="3"/>
  <c r="M21" i="3" s="1"/>
  <c r="K22" i="3"/>
  <c r="M22" i="3" s="1"/>
  <c r="O22" i="3" s="1"/>
  <c r="L19" i="3"/>
  <c r="K19" i="3"/>
  <c r="M19" i="3" s="1"/>
  <c r="O19" i="3" s="1"/>
  <c r="M9" i="3"/>
  <c r="O9" i="3" s="1"/>
  <c r="L9" i="3"/>
  <c r="L10" i="3"/>
  <c r="L12" i="3"/>
  <c r="K9" i="3"/>
  <c r="K10" i="3"/>
  <c r="M10" i="3" s="1"/>
  <c r="O10" i="3" s="1"/>
  <c r="K11" i="3"/>
  <c r="K12" i="3"/>
  <c r="M12" i="3" s="1"/>
  <c r="L8" i="3"/>
  <c r="K8" i="3"/>
  <c r="M8" i="3" s="1"/>
  <c r="O8" i="3" s="1"/>
  <c r="H23" i="3"/>
  <c r="I23" i="3"/>
  <c r="J23" i="3" s="1"/>
  <c r="J19" i="3"/>
  <c r="J20" i="3"/>
  <c r="J21" i="3"/>
  <c r="J22" i="3"/>
  <c r="H13" i="3"/>
  <c r="I13" i="3"/>
  <c r="J13" i="3" s="1"/>
  <c r="J8" i="3"/>
  <c r="J9" i="3"/>
  <c r="J10" i="3"/>
  <c r="J11" i="3"/>
  <c r="J12" i="3"/>
  <c r="I11" i="3"/>
  <c r="E23" i="3"/>
  <c r="F23" i="3"/>
  <c r="G19" i="3"/>
  <c r="G20" i="3"/>
  <c r="G21" i="3"/>
  <c r="G22" i="3"/>
  <c r="E13" i="3"/>
  <c r="G8" i="3"/>
  <c r="G9" i="3"/>
  <c r="G10" i="3"/>
  <c r="G12" i="3"/>
  <c r="F11" i="3"/>
  <c r="F13" i="3" s="1"/>
  <c r="E11" i="3"/>
  <c r="G11" i="3" s="1"/>
  <c r="B23" i="3"/>
  <c r="D23" i="3" s="1"/>
  <c r="C23" i="3"/>
  <c r="L23" i="3" s="1"/>
  <c r="D19" i="3"/>
  <c r="D20" i="3"/>
  <c r="D21" i="3"/>
  <c r="D22" i="3"/>
  <c r="B13" i="3"/>
  <c r="K13" i="3" s="1"/>
  <c r="C13" i="3"/>
  <c r="D8" i="3"/>
  <c r="D9" i="3"/>
  <c r="D10" i="3"/>
  <c r="D11" i="3"/>
  <c r="D12" i="3"/>
  <c r="C11" i="3"/>
  <c r="L11" i="3" s="1"/>
  <c r="F34" i="1"/>
  <c r="E34" i="1"/>
  <c r="G34" i="1" s="1"/>
  <c r="G20" i="1"/>
  <c r="F19" i="1"/>
  <c r="E19" i="1"/>
  <c r="G19" i="1" s="1"/>
  <c r="M35" i="1"/>
  <c r="O35" i="1" s="1"/>
  <c r="L13" i="1"/>
  <c r="L17" i="1"/>
  <c r="L18" i="1"/>
  <c r="L20" i="1"/>
  <c r="L22" i="1"/>
  <c r="L26" i="1"/>
  <c r="L27" i="1"/>
  <c r="L31" i="1"/>
  <c r="L33" i="1"/>
  <c r="L35" i="1"/>
  <c r="L36" i="1"/>
  <c r="L39" i="1"/>
  <c r="L40" i="1"/>
  <c r="K17" i="1"/>
  <c r="K18" i="1"/>
  <c r="M18" i="1" s="1"/>
  <c r="O18" i="1" s="1"/>
  <c r="K20" i="1"/>
  <c r="M20" i="1" s="1"/>
  <c r="O20" i="1" s="1"/>
  <c r="K22" i="1"/>
  <c r="M22" i="1" s="1"/>
  <c r="K26" i="1"/>
  <c r="M26" i="1" s="1"/>
  <c r="O26" i="1" s="1"/>
  <c r="K27" i="1"/>
  <c r="M27" i="1" s="1"/>
  <c r="K31" i="1"/>
  <c r="M31" i="1" s="1"/>
  <c r="K33" i="1"/>
  <c r="M33" i="1" s="1"/>
  <c r="K34" i="1"/>
  <c r="K35" i="1"/>
  <c r="K36" i="1"/>
  <c r="M36" i="1" s="1"/>
  <c r="K39" i="1"/>
  <c r="M39" i="1" s="1"/>
  <c r="K40" i="1"/>
  <c r="M40" i="1" s="1"/>
  <c r="O40" i="1" s="1"/>
  <c r="J22" i="1"/>
  <c r="J31" i="1"/>
  <c r="J33" i="1"/>
  <c r="J37" i="1"/>
  <c r="J40" i="1"/>
  <c r="I37" i="1"/>
  <c r="H37" i="1"/>
  <c r="I34" i="1"/>
  <c r="H34" i="1"/>
  <c r="J34" i="1" s="1"/>
  <c r="I32" i="1"/>
  <c r="J32" i="1" s="1"/>
  <c r="H32" i="1"/>
  <c r="I30" i="1"/>
  <c r="H30" i="1"/>
  <c r="J30" i="1" s="1"/>
  <c r="I28" i="1"/>
  <c r="J28" i="1" s="1"/>
  <c r="H28" i="1"/>
  <c r="J8" i="1"/>
  <c r="J13" i="1"/>
  <c r="J17" i="1"/>
  <c r="J18" i="1"/>
  <c r="I11" i="1"/>
  <c r="H11" i="1"/>
  <c r="J11" i="1" s="1"/>
  <c r="I10" i="1"/>
  <c r="H10" i="1"/>
  <c r="J10" i="1" s="1"/>
  <c r="I9" i="1"/>
  <c r="H9" i="1"/>
  <c r="J9" i="1" s="1"/>
  <c r="I8" i="1"/>
  <c r="H8" i="1"/>
  <c r="M18" i="2"/>
  <c r="O18" i="2" s="1"/>
  <c r="M34" i="2"/>
  <c r="L13" i="2"/>
  <c r="L17" i="2"/>
  <c r="L18" i="2"/>
  <c r="L19" i="2"/>
  <c r="L21" i="2"/>
  <c r="L23" i="2"/>
  <c r="L25" i="2"/>
  <c r="L27" i="2"/>
  <c r="L28" i="2"/>
  <c r="L29" i="2"/>
  <c r="L32" i="2"/>
  <c r="L34" i="2"/>
  <c r="L36" i="2"/>
  <c r="L37" i="2"/>
  <c r="L40" i="2"/>
  <c r="L41" i="2"/>
  <c r="K18" i="2"/>
  <c r="K19" i="2"/>
  <c r="M19" i="2" s="1"/>
  <c r="O19" i="2" s="1"/>
  <c r="K21" i="2"/>
  <c r="M21" i="2" s="1"/>
  <c r="O21" i="2" s="1"/>
  <c r="K23" i="2"/>
  <c r="M23" i="2" s="1"/>
  <c r="K25" i="2"/>
  <c r="M25" i="2" s="1"/>
  <c r="K27" i="2"/>
  <c r="M27" i="2" s="1"/>
  <c r="O27" i="2" s="1"/>
  <c r="K28" i="2"/>
  <c r="M28" i="2" s="1"/>
  <c r="K32" i="2"/>
  <c r="M32" i="2" s="1"/>
  <c r="K34" i="2"/>
  <c r="K36" i="2"/>
  <c r="M36" i="2" s="1"/>
  <c r="O36" i="2" s="1"/>
  <c r="K37" i="2"/>
  <c r="M37" i="2" s="1"/>
  <c r="K40" i="2"/>
  <c r="M40" i="2" s="1"/>
  <c r="K41" i="2"/>
  <c r="M41" i="2" s="1"/>
  <c r="O41" i="2" s="1"/>
  <c r="I42" i="2"/>
  <c r="J32" i="2"/>
  <c r="J34" i="2"/>
  <c r="J38" i="2"/>
  <c r="J41" i="2"/>
  <c r="J10" i="2"/>
  <c r="J11" i="2"/>
  <c r="J12" i="2"/>
  <c r="J14" i="2"/>
  <c r="J18" i="2"/>
  <c r="J19" i="2"/>
  <c r="J23" i="2"/>
  <c r="I35" i="2"/>
  <c r="H35" i="2"/>
  <c r="J35" i="2" s="1"/>
  <c r="I33" i="2"/>
  <c r="H33" i="2"/>
  <c r="J33" i="2" s="1"/>
  <c r="I31" i="2"/>
  <c r="H31" i="2"/>
  <c r="J31" i="2" s="1"/>
  <c r="I29" i="2"/>
  <c r="H29" i="2"/>
  <c r="J29" i="2" s="1"/>
  <c r="I26" i="2"/>
  <c r="H26" i="2"/>
  <c r="J26" i="2" s="1"/>
  <c r="I22" i="2"/>
  <c r="H22" i="2"/>
  <c r="J22" i="2" s="1"/>
  <c r="I17" i="2"/>
  <c r="H17" i="2"/>
  <c r="J17" i="2" s="1"/>
  <c r="I16" i="2"/>
  <c r="H16" i="2"/>
  <c r="J16" i="2" s="1"/>
  <c r="I15" i="2"/>
  <c r="H15" i="2"/>
  <c r="J15" i="2" s="1"/>
  <c r="I14" i="2"/>
  <c r="H14" i="2"/>
  <c r="I13" i="2"/>
  <c r="H13" i="2"/>
  <c r="J13" i="2" s="1"/>
  <c r="I10" i="2"/>
  <c r="H10" i="2"/>
  <c r="I9" i="2"/>
  <c r="H9" i="2"/>
  <c r="G14" i="2"/>
  <c r="G18" i="2"/>
  <c r="G19" i="2"/>
  <c r="G21" i="2"/>
  <c r="G32" i="2"/>
  <c r="G34" i="2"/>
  <c r="G36" i="2"/>
  <c r="G37" i="2"/>
  <c r="G40" i="2"/>
  <c r="F39" i="2"/>
  <c r="E39" i="2"/>
  <c r="G39" i="2" s="1"/>
  <c r="F38" i="2"/>
  <c r="E38" i="2"/>
  <c r="G38" i="2" s="1"/>
  <c r="F35" i="2"/>
  <c r="E35" i="2"/>
  <c r="G35" i="2" s="1"/>
  <c r="F33" i="2"/>
  <c r="E33" i="2"/>
  <c r="G33" i="2" s="1"/>
  <c r="F31" i="2"/>
  <c r="L31" i="2" s="1"/>
  <c r="E31" i="2"/>
  <c r="K31" i="2" s="1"/>
  <c r="F30" i="2"/>
  <c r="E30" i="2"/>
  <c r="G30" i="2" s="1"/>
  <c r="F29" i="2"/>
  <c r="E29" i="2"/>
  <c r="G29" i="2" s="1"/>
  <c r="F26" i="2"/>
  <c r="E26" i="2"/>
  <c r="G26" i="2" s="1"/>
  <c r="F20" i="2"/>
  <c r="E20" i="2"/>
  <c r="G20" i="2" s="1"/>
  <c r="F17" i="2"/>
  <c r="E17" i="2"/>
  <c r="G17" i="2" s="1"/>
  <c r="F16" i="2"/>
  <c r="E16" i="2"/>
  <c r="G16" i="2" s="1"/>
  <c r="F15" i="2"/>
  <c r="E15" i="2"/>
  <c r="G15" i="2" s="1"/>
  <c r="F13" i="2"/>
  <c r="E13" i="2"/>
  <c r="G13" i="2" s="1"/>
  <c r="F12" i="2"/>
  <c r="E12" i="2"/>
  <c r="G12" i="2" s="1"/>
  <c r="F11" i="2"/>
  <c r="E11" i="2"/>
  <c r="G11" i="2" s="1"/>
  <c r="F10" i="2"/>
  <c r="E10" i="2"/>
  <c r="G10" i="2" s="1"/>
  <c r="F9" i="2"/>
  <c r="F42" i="2" s="1"/>
  <c r="E9" i="2"/>
  <c r="E42" i="2" s="1"/>
  <c r="D18" i="2"/>
  <c r="D19" i="2"/>
  <c r="D21" i="2"/>
  <c r="D23" i="2"/>
  <c r="D25" i="2"/>
  <c r="D30" i="2"/>
  <c r="D34" i="2"/>
  <c r="D36" i="2"/>
  <c r="D37" i="2"/>
  <c r="D40" i="2"/>
  <c r="D41" i="2"/>
  <c r="C34" i="1"/>
  <c r="L34" i="1" s="1"/>
  <c r="M34" i="1" s="1"/>
  <c r="B34" i="1"/>
  <c r="D34" i="1" s="1"/>
  <c r="C35" i="2"/>
  <c r="L35" i="2" s="1"/>
  <c r="B35" i="2"/>
  <c r="K35" i="2" s="1"/>
  <c r="C39" i="2"/>
  <c r="L39" i="2" s="1"/>
  <c r="B39" i="2"/>
  <c r="K39" i="2" s="1"/>
  <c r="M39" i="2" s="1"/>
  <c r="O39" i="2" s="1"/>
  <c r="C38" i="2"/>
  <c r="L38" i="2" s="1"/>
  <c r="B38" i="2"/>
  <c r="K38" i="2" s="1"/>
  <c r="M38" i="2" s="1"/>
  <c r="O38" i="2" s="1"/>
  <c r="C33" i="2"/>
  <c r="L33" i="2" s="1"/>
  <c r="B33" i="2"/>
  <c r="D33" i="2" s="1"/>
  <c r="C30" i="2"/>
  <c r="L30" i="2" s="1"/>
  <c r="B30" i="2"/>
  <c r="K30" i="2" s="1"/>
  <c r="M30" i="2" s="1"/>
  <c r="O30" i="2" s="1"/>
  <c r="D29" i="1"/>
  <c r="C29" i="1"/>
  <c r="B29" i="1"/>
  <c r="C29" i="2"/>
  <c r="B29" i="2"/>
  <c r="D29" i="2" s="1"/>
  <c r="C26" i="2"/>
  <c r="L26" i="2" s="1"/>
  <c r="B26" i="2"/>
  <c r="K26" i="2" s="1"/>
  <c r="M26" i="2" s="1"/>
  <c r="O26" i="2" s="1"/>
  <c r="C24" i="2"/>
  <c r="L24" i="2" s="1"/>
  <c r="B24" i="2"/>
  <c r="K24" i="2" s="1"/>
  <c r="C22" i="2"/>
  <c r="L22" i="2" s="1"/>
  <c r="B22" i="2"/>
  <c r="K22" i="2" s="1"/>
  <c r="M22" i="2" s="1"/>
  <c r="O22" i="2" s="1"/>
  <c r="C20" i="2"/>
  <c r="L20" i="2" s="1"/>
  <c r="B20" i="2"/>
  <c r="K20" i="2" s="1"/>
  <c r="M20" i="2" s="1"/>
  <c r="O20" i="2" s="1"/>
  <c r="C17" i="2"/>
  <c r="B17" i="2"/>
  <c r="D17" i="2" s="1"/>
  <c r="C16" i="2"/>
  <c r="L16" i="2" s="1"/>
  <c r="B16" i="2"/>
  <c r="K16" i="2" s="1"/>
  <c r="M16" i="2" s="1"/>
  <c r="O16" i="2" s="1"/>
  <c r="C15" i="2"/>
  <c r="L15" i="2" s="1"/>
  <c r="B15" i="2"/>
  <c r="K15" i="2" s="1"/>
  <c r="M15" i="2" s="1"/>
  <c r="O15" i="2" s="1"/>
  <c r="C14" i="2"/>
  <c r="L14" i="2" s="1"/>
  <c r="B14" i="2"/>
  <c r="C13" i="2"/>
  <c r="B13" i="2"/>
  <c r="D13" i="2" s="1"/>
  <c r="C12" i="2"/>
  <c r="L12" i="2" s="1"/>
  <c r="B12" i="2"/>
  <c r="K12" i="2" s="1"/>
  <c r="M12" i="2" s="1"/>
  <c r="O12" i="2" s="1"/>
  <c r="C11" i="2"/>
  <c r="L11" i="2" s="1"/>
  <c r="B11" i="2"/>
  <c r="K11" i="2" s="1"/>
  <c r="M11" i="2" s="1"/>
  <c r="O11" i="2" s="1"/>
  <c r="C10" i="2"/>
  <c r="L10" i="2" s="1"/>
  <c r="B10" i="2"/>
  <c r="C9" i="2"/>
  <c r="L9" i="2" s="1"/>
  <c r="B9" i="2"/>
  <c r="D9" i="2" s="1"/>
  <c r="H25" i="1"/>
  <c r="J25" i="1" s="1"/>
  <c r="K14" i="2" l="1"/>
  <c r="M14" i="2" s="1"/>
  <c r="O14" i="2" s="1"/>
  <c r="D14" i="2"/>
  <c r="M24" i="2"/>
  <c r="O24" i="2" s="1"/>
  <c r="L42" i="2"/>
  <c r="D24" i="2"/>
  <c r="C42" i="2"/>
  <c r="M35" i="2"/>
  <c r="M31" i="2"/>
  <c r="O31" i="2" s="1"/>
  <c r="K29" i="2"/>
  <c r="M29" i="2" s="1"/>
  <c r="O29" i="2" s="1"/>
  <c r="K17" i="2"/>
  <c r="M17" i="2" s="1"/>
  <c r="O17" i="2" s="1"/>
  <c r="G13" i="3"/>
  <c r="M11" i="3"/>
  <c r="O11" i="3" s="1"/>
  <c r="K10" i="2"/>
  <c r="M10" i="2" s="1"/>
  <c r="O10" i="2" s="1"/>
  <c r="D10" i="2"/>
  <c r="D16" i="2"/>
  <c r="G42" i="2"/>
  <c r="H42" i="2"/>
  <c r="J9" i="2"/>
  <c r="K13" i="2"/>
  <c r="M13" i="2" s="1"/>
  <c r="O13" i="2" s="1"/>
  <c r="D20" i="2"/>
  <c r="D12" i="2"/>
  <c r="K33" i="2"/>
  <c r="M33" i="2" s="1"/>
  <c r="O33" i="2" s="1"/>
  <c r="L13" i="3"/>
  <c r="M13" i="3" s="1"/>
  <c r="O13" i="3" s="1"/>
  <c r="K23" i="3"/>
  <c r="M23" i="3" s="1"/>
  <c r="O23" i="3" s="1"/>
  <c r="D39" i="2"/>
  <c r="D35" i="2"/>
  <c r="D15" i="2"/>
  <c r="D11" i="2"/>
  <c r="B42" i="2"/>
  <c r="D42" i="2" s="1"/>
  <c r="G31" i="2"/>
  <c r="G9" i="2"/>
  <c r="D22" i="2"/>
  <c r="K9" i="2"/>
  <c r="M9" i="2" s="1"/>
  <c r="O9" i="2" s="1"/>
  <c r="D13" i="3"/>
  <c r="D38" i="2"/>
  <c r="D26" i="2"/>
  <c r="M17" i="1"/>
  <c r="O17" i="1" s="1"/>
  <c r="J42" i="2"/>
  <c r="G23" i="3"/>
  <c r="I21" i="1"/>
  <c r="H21" i="1"/>
  <c r="J21" i="1" s="1"/>
  <c r="I16" i="1"/>
  <c r="H16" i="1"/>
  <c r="I15" i="1"/>
  <c r="H15" i="1"/>
  <c r="J15" i="1" s="1"/>
  <c r="I14" i="1"/>
  <c r="H14" i="1"/>
  <c r="I12" i="1"/>
  <c r="I41" i="1" s="1"/>
  <c r="H12" i="1"/>
  <c r="J12" i="1" s="1"/>
  <c r="G10" i="1"/>
  <c r="G18" i="1"/>
  <c r="G31" i="1"/>
  <c r="G33" i="1"/>
  <c r="G35" i="1"/>
  <c r="G36" i="1"/>
  <c r="G39" i="1"/>
  <c r="G40" i="1"/>
  <c r="F38" i="1"/>
  <c r="L38" i="1" s="1"/>
  <c r="E38" i="1"/>
  <c r="K38" i="1" s="1"/>
  <c r="M38" i="1" s="1"/>
  <c r="O38" i="1" s="1"/>
  <c r="F37" i="1"/>
  <c r="E37" i="1"/>
  <c r="G37" i="1" s="1"/>
  <c r="F32" i="1"/>
  <c r="G32" i="1" s="1"/>
  <c r="E32" i="1"/>
  <c r="F30" i="1"/>
  <c r="L30" i="1" s="1"/>
  <c r="E30" i="1"/>
  <c r="K30" i="1" s="1"/>
  <c r="M30" i="1" s="1"/>
  <c r="O30" i="1" s="1"/>
  <c r="F29" i="1"/>
  <c r="L29" i="1" s="1"/>
  <c r="E29" i="1"/>
  <c r="K29" i="1" s="1"/>
  <c r="M29" i="1" s="1"/>
  <c r="O29" i="1" s="1"/>
  <c r="F28" i="1"/>
  <c r="E28" i="1"/>
  <c r="G28" i="1" s="1"/>
  <c r="F25" i="1"/>
  <c r="G25" i="1" s="1"/>
  <c r="E25" i="1"/>
  <c r="F16" i="1"/>
  <c r="E16" i="1"/>
  <c r="G16" i="1" s="1"/>
  <c r="F15" i="1"/>
  <c r="G15" i="1" s="1"/>
  <c r="E15" i="1"/>
  <c r="F14" i="1"/>
  <c r="E14" i="1"/>
  <c r="G14" i="1" s="1"/>
  <c r="E13" i="1"/>
  <c r="K13" i="1" s="1"/>
  <c r="M13" i="1" s="1"/>
  <c r="O13" i="1" s="1"/>
  <c r="F12" i="1"/>
  <c r="E12" i="1"/>
  <c r="G12" i="1" s="1"/>
  <c r="F11" i="1"/>
  <c r="E11" i="1"/>
  <c r="G11" i="1" s="1"/>
  <c r="F10" i="1"/>
  <c r="E10" i="1"/>
  <c r="F9" i="1"/>
  <c r="E9" i="1"/>
  <c r="E41" i="1" s="1"/>
  <c r="F8" i="1"/>
  <c r="F41" i="1" s="1"/>
  <c r="E8" i="1"/>
  <c r="G8" i="1" s="1"/>
  <c r="D13" i="1"/>
  <c r="D17" i="1"/>
  <c r="D18" i="1"/>
  <c r="D20" i="1"/>
  <c r="D22" i="1"/>
  <c r="D33" i="1"/>
  <c r="D35" i="1"/>
  <c r="D36" i="1"/>
  <c r="D38" i="1"/>
  <c r="D39" i="1"/>
  <c r="D40" i="1"/>
  <c r="C37" i="1"/>
  <c r="L37" i="1" s="1"/>
  <c r="B37" i="1"/>
  <c r="C32" i="1"/>
  <c r="L32" i="1" s="1"/>
  <c r="B32" i="1"/>
  <c r="K32" i="1" s="1"/>
  <c r="M32" i="1" s="1"/>
  <c r="O32" i="1" s="1"/>
  <c r="C28" i="1"/>
  <c r="L28" i="1" s="1"/>
  <c r="B28" i="1"/>
  <c r="C25" i="1"/>
  <c r="L25" i="1" s="1"/>
  <c r="B25" i="1"/>
  <c r="K25" i="1" s="1"/>
  <c r="M25" i="1" s="1"/>
  <c r="O25" i="1" s="1"/>
  <c r="C24" i="1"/>
  <c r="L24" i="1" s="1"/>
  <c r="B24" i="1"/>
  <c r="K24" i="1" s="1"/>
  <c r="C23" i="1"/>
  <c r="L23" i="1" s="1"/>
  <c r="B23" i="1"/>
  <c r="K23" i="1" s="1"/>
  <c r="M23" i="1" s="1"/>
  <c r="O23" i="1" s="1"/>
  <c r="C21" i="1"/>
  <c r="L21" i="1" s="1"/>
  <c r="M21" i="1" s="1"/>
  <c r="O21" i="1" s="1"/>
  <c r="B21" i="1"/>
  <c r="D21" i="1" s="1"/>
  <c r="C19" i="1"/>
  <c r="L19" i="1" s="1"/>
  <c r="B19" i="1"/>
  <c r="K19" i="1" s="1"/>
  <c r="M19" i="1" s="1"/>
  <c r="O19" i="1" s="1"/>
  <c r="C16" i="1"/>
  <c r="L16" i="1" s="1"/>
  <c r="B16" i="1"/>
  <c r="C15" i="1"/>
  <c r="L15" i="1" s="1"/>
  <c r="B15" i="1"/>
  <c r="K15" i="1" s="1"/>
  <c r="M15" i="1" s="1"/>
  <c r="O15" i="1" s="1"/>
  <c r="C14" i="1"/>
  <c r="L14" i="1" s="1"/>
  <c r="B14" i="1"/>
  <c r="C12" i="1"/>
  <c r="L12" i="1" s="1"/>
  <c r="B12" i="1"/>
  <c r="K12" i="1" s="1"/>
  <c r="M12" i="1" s="1"/>
  <c r="O12" i="1" s="1"/>
  <c r="C11" i="1"/>
  <c r="L11" i="1" s="1"/>
  <c r="B11" i="1"/>
  <c r="C10" i="1"/>
  <c r="L10" i="1" s="1"/>
  <c r="B10" i="1"/>
  <c r="K10" i="1" s="1"/>
  <c r="M10" i="1" s="1"/>
  <c r="O10" i="1" s="1"/>
  <c r="C9" i="1"/>
  <c r="L9" i="1" s="1"/>
  <c r="B9" i="1"/>
  <c r="D9" i="1" s="1"/>
  <c r="C8" i="1"/>
  <c r="L8" i="1" s="1"/>
  <c r="B8" i="1"/>
  <c r="K8" i="1" s="1"/>
  <c r="M8" i="1" s="1"/>
  <c r="O8" i="1" s="1"/>
  <c r="D25" i="1" l="1"/>
  <c r="G30" i="1"/>
  <c r="G13" i="1"/>
  <c r="G9" i="1"/>
  <c r="D28" i="1"/>
  <c r="K9" i="1"/>
  <c r="M9" i="1" s="1"/>
  <c r="O9" i="1" s="1"/>
  <c r="K11" i="1"/>
  <c r="M11" i="1" s="1"/>
  <c r="O11" i="1" s="1"/>
  <c r="K14" i="1"/>
  <c r="M14" i="1" s="1"/>
  <c r="O14" i="1" s="1"/>
  <c r="K16" i="1"/>
  <c r="M16" i="1" s="1"/>
  <c r="O16" i="1" s="1"/>
  <c r="M24" i="1"/>
  <c r="K28" i="1"/>
  <c r="M28" i="1" s="1"/>
  <c r="O28" i="1" s="1"/>
  <c r="K37" i="1"/>
  <c r="M37" i="1" s="1"/>
  <c r="O37" i="1" s="1"/>
  <c r="D24" i="1"/>
  <c r="D16" i="1"/>
  <c r="D12" i="1"/>
  <c r="D8" i="1"/>
  <c r="G38" i="1"/>
  <c r="G29" i="1"/>
  <c r="K42" i="2"/>
  <c r="M42" i="2" s="1"/>
  <c r="O42" i="2" s="1"/>
  <c r="H41" i="1"/>
  <c r="J41" i="1" s="1"/>
  <c r="D37" i="1"/>
  <c r="D32" i="1"/>
  <c r="D23" i="1"/>
  <c r="D19" i="1"/>
  <c r="D15" i="1"/>
  <c r="D11" i="1"/>
  <c r="C41" i="1"/>
  <c r="L41" i="1" s="1"/>
  <c r="J14" i="1"/>
  <c r="J16" i="1"/>
  <c r="D14" i="1"/>
  <c r="D10" i="1"/>
  <c r="B41" i="1"/>
  <c r="D41" i="1" s="1"/>
  <c r="G41" i="1"/>
  <c r="K41" i="1" l="1"/>
  <c r="M41" i="1" s="1"/>
  <c r="O41" i="1" s="1"/>
</calcChain>
</file>

<file path=xl/sharedStrings.xml><?xml version="1.0" encoding="utf-8"?>
<sst xmlns="http://schemas.openxmlformats.org/spreadsheetml/2006/main" count="167" uniqueCount="63">
  <si>
    <t>OPERATIONS HEADQUARTERS</t>
  </si>
  <si>
    <t>PASSENGER TRAFFIC</t>
  </si>
  <si>
    <t>JANUARY</t>
  </si>
  <si>
    <t>FEBRUARY</t>
  </si>
  <si>
    <t>MARCH</t>
  </si>
  <si>
    <t>AIRPORT</t>
  </si>
  <si>
    <t>ARR</t>
  </si>
  <si>
    <t>DEP</t>
  </si>
  <si>
    <t>TOTAL</t>
  </si>
  <si>
    <t xml:space="preserve">G.TOTAL </t>
  </si>
  <si>
    <t>%GROWTH</t>
  </si>
  <si>
    <t>MMA DOM</t>
  </si>
  <si>
    <t>MMA INT'L</t>
  </si>
  <si>
    <t>ABJ. DOM</t>
  </si>
  <si>
    <t>ABJ.INT'L</t>
  </si>
  <si>
    <t>PHC.DOM</t>
  </si>
  <si>
    <t>PHC. INT'L</t>
  </si>
  <si>
    <t>KANO DOM</t>
  </si>
  <si>
    <t>KANO INT'L</t>
  </si>
  <si>
    <t>ENUGU</t>
  </si>
  <si>
    <t>ENUGU INT'L</t>
  </si>
  <si>
    <t>OSUBI</t>
  </si>
  <si>
    <t>KAD. DOM</t>
  </si>
  <si>
    <t>KAD. INT'L</t>
  </si>
  <si>
    <t>CAL DOM</t>
  </si>
  <si>
    <t>CAL INT'L</t>
  </si>
  <si>
    <t>SOK DOM</t>
  </si>
  <si>
    <t>SOK INT'L</t>
  </si>
  <si>
    <t>BENIN</t>
  </si>
  <si>
    <t>MAID .DOM</t>
  </si>
  <si>
    <t>MAID INT'L</t>
  </si>
  <si>
    <t>JOS</t>
  </si>
  <si>
    <t>OWERRI</t>
  </si>
  <si>
    <t>YOLA DOM</t>
  </si>
  <si>
    <t>YOLA INT'L</t>
  </si>
  <si>
    <t>ILORIN DOM</t>
  </si>
  <si>
    <t>ILORIN INT'L</t>
  </si>
  <si>
    <t>IBADAN</t>
  </si>
  <si>
    <t>MINNA DOM</t>
  </si>
  <si>
    <t>MINNA INT'L</t>
  </si>
  <si>
    <t>AKURE</t>
  </si>
  <si>
    <t>KAT DOM</t>
  </si>
  <si>
    <t>KAT INT'L</t>
  </si>
  <si>
    <t>MKD</t>
  </si>
  <si>
    <t>AIRCRAFT MOVEMENT</t>
  </si>
  <si>
    <t>JANUARY -MARCH (FIRST QUARTER) 2017</t>
  </si>
  <si>
    <t>G.TOTAL 2017</t>
  </si>
  <si>
    <t>CARGO MOVEMENT</t>
  </si>
  <si>
    <t>MMA</t>
  </si>
  <si>
    <t>ABUJA</t>
  </si>
  <si>
    <t>PHC</t>
  </si>
  <si>
    <t>KANO</t>
  </si>
  <si>
    <t xml:space="preserve"> MAIL MOVEMENT (KG) 2017</t>
  </si>
  <si>
    <t xml:space="preserve"> </t>
  </si>
  <si>
    <t>Q1 2017 TOTAL</t>
  </si>
  <si>
    <t>FIRST QUARTER 2017</t>
  </si>
  <si>
    <t>YEAR ON YEAR GROWTH</t>
  </si>
  <si>
    <t>(Q1 2016/Q1 2017) %</t>
  </si>
  <si>
    <t>Q1 2016</t>
  </si>
  <si>
    <t>Q1 2016 TOTAL</t>
  </si>
  <si>
    <t>Q1 2016/Q1 2017</t>
  </si>
  <si>
    <t>% GROWTH</t>
  </si>
  <si>
    <t>Q 1 2017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</si>
</sst>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.0_);_(* \(#,##0.0\);_(* &quot;-&quot;??_);_(@_)"/>
    <numFmt numFmtId="167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1"/>
      <color theme="1"/>
      <name val="Arial Black"/>
      <family val="2"/>
    </font>
    <font>
      <b/>
      <sz val="11"/>
      <color theme="1"/>
      <name val="Century"/>
      <family val="1"/>
    </font>
    <font>
      <b/>
      <sz val="14"/>
      <color theme="1"/>
      <name val="Century"/>
      <family val="1"/>
    </font>
    <font>
      <b/>
      <sz val="12"/>
      <color theme="1"/>
      <name val="Century"/>
      <family val="1"/>
    </font>
    <font>
      <sz val="11"/>
      <color theme="1"/>
      <name val="Century"/>
      <family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entury"/>
      <family val="1"/>
    </font>
    <font>
      <b/>
      <sz val="12"/>
      <color theme="0"/>
      <name val="Century"/>
      <family val="1"/>
    </font>
    <font>
      <sz val="11"/>
      <color theme="0"/>
      <name val="Century"/>
      <family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0" applyFont="1"/>
    <xf numFmtId="0" fontId="7" fillId="0" borderId="1" xfId="0" applyFont="1" applyBorder="1"/>
    <xf numFmtId="0" fontId="3" fillId="0" borderId="5" xfId="0" applyFont="1" applyBorder="1"/>
    <xf numFmtId="0" fontId="5" fillId="0" borderId="0" xfId="0" applyFont="1"/>
    <xf numFmtId="0" fontId="7" fillId="0" borderId="1" xfId="0" applyFont="1" applyBorder="1"/>
    <xf numFmtId="0" fontId="5" fillId="0" borderId="1" xfId="0" applyFont="1" applyBorder="1"/>
    <xf numFmtId="0" fontId="2" fillId="0" borderId="0" xfId="0" applyFont="1"/>
    <xf numFmtId="0" fontId="3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4" fillId="0" borderId="1" xfId="0" applyFont="1" applyBorder="1"/>
    <xf numFmtId="0" fontId="3" fillId="0" borderId="3" xfId="0" applyFont="1" applyBorder="1"/>
    <xf numFmtId="165" fontId="5" fillId="0" borderId="1" xfId="1" applyNumberFormat="1" applyFont="1" applyBorder="1"/>
    <xf numFmtId="165" fontId="5" fillId="0" borderId="1" xfId="1" applyNumberFormat="1" applyFont="1" applyBorder="1"/>
    <xf numFmtId="165" fontId="5" fillId="0" borderId="1" xfId="1" applyNumberFormat="1" applyFont="1" applyBorder="1"/>
    <xf numFmtId="165" fontId="8" fillId="0" borderId="1" xfId="1" applyNumberFormat="1" applyFont="1" applyBorder="1"/>
    <xf numFmtId="43" fontId="0" fillId="0" borderId="1" xfId="0" applyNumberFormat="1" applyBorder="1"/>
    <xf numFmtId="164" fontId="0" fillId="0" borderId="1" xfId="0" applyNumberFormat="1" applyBorder="1"/>
    <xf numFmtId="0" fontId="9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4" borderId="0" xfId="0" applyFont="1" applyFill="1"/>
    <xf numFmtId="0" fontId="7" fillId="4" borderId="2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0" fontId="7" fillId="4" borderId="1" xfId="0" applyFont="1" applyFill="1" applyBorder="1"/>
    <xf numFmtId="165" fontId="8" fillId="4" borderId="1" xfId="1" applyNumberFormat="1" applyFont="1" applyFill="1" applyBorder="1"/>
    <xf numFmtId="0" fontId="0" fillId="4" borderId="0" xfId="0" applyFill="1"/>
    <xf numFmtId="0" fontId="5" fillId="6" borderId="0" xfId="0" applyFont="1" applyFill="1"/>
    <xf numFmtId="0" fontId="7" fillId="6" borderId="2" xfId="0" applyFont="1" applyFill="1" applyBorder="1"/>
    <xf numFmtId="0" fontId="7" fillId="6" borderId="3" xfId="0" applyFont="1" applyFill="1" applyBorder="1"/>
    <xf numFmtId="0" fontId="7" fillId="6" borderId="4" xfId="0" applyFont="1" applyFill="1" applyBorder="1"/>
    <xf numFmtId="0" fontId="7" fillId="6" borderId="1" xfId="0" applyFont="1" applyFill="1" applyBorder="1"/>
    <xf numFmtId="165" fontId="8" fillId="6" borderId="1" xfId="1" applyNumberFormat="1" applyFont="1" applyFill="1" applyBorder="1"/>
    <xf numFmtId="0" fontId="0" fillId="6" borderId="0" xfId="0" applyFill="1"/>
    <xf numFmtId="0" fontId="5" fillId="3" borderId="0" xfId="0" applyFont="1" applyFill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3" borderId="1" xfId="0" applyFont="1" applyFill="1" applyBorder="1"/>
    <xf numFmtId="165" fontId="8" fillId="3" borderId="1" xfId="1" applyNumberFormat="1" applyFont="1" applyFill="1" applyBorder="1"/>
    <xf numFmtId="0" fontId="0" fillId="3" borderId="0" xfId="0" applyFill="1"/>
    <xf numFmtId="0" fontId="2" fillId="3" borderId="0" xfId="0" applyFont="1" applyFill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167" fontId="0" fillId="3" borderId="1" xfId="1" applyNumberFormat="1" applyFont="1" applyFill="1" applyBorder="1"/>
    <xf numFmtId="164" fontId="0" fillId="3" borderId="1" xfId="1" applyFont="1" applyFill="1" applyBorder="1"/>
    <xf numFmtId="0" fontId="2" fillId="4" borderId="0" xfId="0" applyFont="1" applyFill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164" fontId="0" fillId="4" borderId="1" xfId="1" applyFont="1" applyFill="1" applyBorder="1"/>
    <xf numFmtId="167" fontId="0" fillId="4" borderId="1" xfId="1" applyNumberFormat="1" applyFont="1" applyFill="1" applyBorder="1"/>
    <xf numFmtId="0" fontId="2" fillId="6" borderId="0" xfId="0" applyFont="1" applyFill="1"/>
    <xf numFmtId="0" fontId="3" fillId="6" borderId="2" xfId="0" applyFont="1" applyFill="1" applyBorder="1"/>
    <xf numFmtId="0" fontId="3" fillId="6" borderId="3" xfId="0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164" fontId="0" fillId="6" borderId="1" xfId="1" applyFont="1" applyFill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9" fillId="3" borderId="1" xfId="1" applyFont="1" applyFill="1" applyBorder="1"/>
    <xf numFmtId="167" fontId="9" fillId="4" borderId="1" xfId="1" applyNumberFormat="1" applyFont="1" applyFill="1" applyBorder="1"/>
    <xf numFmtId="164" fontId="9" fillId="6" borderId="1" xfId="1" applyFont="1" applyFill="1" applyBorder="1"/>
    <xf numFmtId="164" fontId="9" fillId="0" borderId="1" xfId="0" applyNumberFormat="1" applyFont="1" applyBorder="1"/>
    <xf numFmtId="167" fontId="9" fillId="3" borderId="1" xfId="1" applyNumberFormat="1" applyFont="1" applyFill="1" applyBorder="1"/>
    <xf numFmtId="164" fontId="9" fillId="4" borderId="1" xfId="1" applyFont="1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Normal="100" workbookViewId="0">
      <selection activeCell="A2" sqref="A2:XFD2"/>
    </sheetView>
  </sheetViews>
  <sheetFormatPr defaultRowHeight="15" x14ac:dyDescent="0.25"/>
  <cols>
    <col min="1" max="1" width="17" customWidth="1"/>
    <col min="2" max="2" width="11.5703125" customWidth="1"/>
    <col min="3" max="3" width="11.42578125" customWidth="1"/>
    <col min="4" max="4" width="11.42578125" bestFit="1" customWidth="1"/>
    <col min="5" max="6" width="11.42578125" customWidth="1"/>
    <col min="7" max="7" width="11.42578125" bestFit="1" customWidth="1"/>
    <col min="8" max="10" width="11.42578125" customWidth="1"/>
    <col min="11" max="12" width="13.5703125" style="43" customWidth="1"/>
    <col min="13" max="13" width="13.5703125" style="43" bestFit="1" customWidth="1"/>
    <col min="14" max="14" width="20.28515625" style="47" customWidth="1"/>
    <col min="15" max="15" width="31.5703125" style="47" customWidth="1"/>
  </cols>
  <sheetData>
    <row r="1" spans="1:15" ht="15.75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.75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75" x14ac:dyDescent="0.25">
      <c r="A3" s="21" t="s">
        <v>55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.75" x14ac:dyDescent="0.2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36"/>
      <c r="L5" s="36"/>
      <c r="M5" s="36"/>
      <c r="N5" s="44"/>
      <c r="O5" s="44"/>
    </row>
    <row r="6" spans="1:15" ht="15.75" x14ac:dyDescent="0.25">
      <c r="A6" s="2"/>
      <c r="B6" s="27" t="s">
        <v>2</v>
      </c>
      <c r="C6" s="28"/>
      <c r="D6" s="29"/>
      <c r="E6" s="30" t="s">
        <v>3</v>
      </c>
      <c r="F6" s="31"/>
      <c r="G6" s="32"/>
      <c r="H6" s="33" t="s">
        <v>4</v>
      </c>
      <c r="I6" s="34"/>
      <c r="J6" s="35"/>
      <c r="K6" s="37" t="s">
        <v>54</v>
      </c>
      <c r="L6" s="38"/>
      <c r="M6" s="39"/>
      <c r="N6" s="49" t="s">
        <v>59</v>
      </c>
      <c r="O6" s="45" t="s">
        <v>56</v>
      </c>
    </row>
    <row r="7" spans="1:15" ht="15.75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6</v>
      </c>
      <c r="F7" s="2" t="s">
        <v>7</v>
      </c>
      <c r="G7" s="2" t="s">
        <v>8</v>
      </c>
      <c r="H7" s="2" t="s">
        <v>6</v>
      </c>
      <c r="I7" s="2" t="s">
        <v>7</v>
      </c>
      <c r="J7" s="2" t="s">
        <v>8</v>
      </c>
      <c r="K7" s="40" t="s">
        <v>6</v>
      </c>
      <c r="L7" s="40" t="s">
        <v>7</v>
      </c>
      <c r="M7" s="40" t="s">
        <v>8</v>
      </c>
      <c r="N7" s="49"/>
      <c r="O7" s="45" t="s">
        <v>57</v>
      </c>
    </row>
    <row r="8" spans="1:15" x14ac:dyDescent="0.25">
      <c r="A8" s="6" t="s">
        <v>11</v>
      </c>
      <c r="B8" s="17">
        <f>115219+4514</f>
        <v>119733</v>
      </c>
      <c r="C8" s="17">
        <f>109073+4437</f>
        <v>113510</v>
      </c>
      <c r="D8" s="17">
        <f t="shared" ref="D8:D25" si="0">SUM(B8:C8)</f>
        <v>233243</v>
      </c>
      <c r="E8" s="17">
        <f>110626+5516</f>
        <v>116142</v>
      </c>
      <c r="F8" s="17">
        <f>110611+6282</f>
        <v>116893</v>
      </c>
      <c r="G8" s="17">
        <f t="shared" ref="G8:G16" si="1">SUM(E8:F8)</f>
        <v>233035</v>
      </c>
      <c r="H8" s="17">
        <f>110302+6243</f>
        <v>116545</v>
      </c>
      <c r="I8" s="17">
        <f>108944+6398</f>
        <v>115342</v>
      </c>
      <c r="J8" s="17">
        <f t="shared" ref="J8:J18" si="2">SUM(H8:I8)</f>
        <v>231887</v>
      </c>
      <c r="K8" s="41">
        <f>B8+E8+H8</f>
        <v>352420</v>
      </c>
      <c r="L8" s="41">
        <f>C8+F8+I8</f>
        <v>345745</v>
      </c>
      <c r="M8" s="41">
        <f t="shared" ref="M8:M41" si="3">SUM(K8:L8)</f>
        <v>698165</v>
      </c>
      <c r="N8" s="48">
        <v>886869</v>
      </c>
      <c r="O8" s="46">
        <f>(M8-N8)*100/N8</f>
        <v>-21.277550573985561</v>
      </c>
    </row>
    <row r="9" spans="1:15" x14ac:dyDescent="0.25">
      <c r="A9" s="6" t="s">
        <v>12</v>
      </c>
      <c r="B9" s="17">
        <f>107130+2114</f>
        <v>109244</v>
      </c>
      <c r="C9" s="17">
        <f>122925+2007</f>
        <v>124932</v>
      </c>
      <c r="D9" s="17">
        <f t="shared" si="0"/>
        <v>234176</v>
      </c>
      <c r="E9" s="17">
        <f>81603+1533</f>
        <v>83136</v>
      </c>
      <c r="F9" s="17">
        <f>1499+97072</f>
        <v>98571</v>
      </c>
      <c r="G9" s="17">
        <f t="shared" si="1"/>
        <v>181707</v>
      </c>
      <c r="H9" s="17">
        <f>100018+1480</f>
        <v>101498</v>
      </c>
      <c r="I9" s="17">
        <f>108885+1140</f>
        <v>110025</v>
      </c>
      <c r="J9" s="17">
        <f t="shared" si="2"/>
        <v>211523</v>
      </c>
      <c r="K9" s="41">
        <f t="shared" ref="K9:K41" si="4">B9+E9+H9</f>
        <v>293878</v>
      </c>
      <c r="L9" s="41">
        <f t="shared" ref="L9:L41" si="5">C9+F9+I9</f>
        <v>333528</v>
      </c>
      <c r="M9" s="41">
        <f t="shared" si="3"/>
        <v>627406</v>
      </c>
      <c r="N9" s="48">
        <v>774306</v>
      </c>
      <c r="O9" s="46">
        <f t="shared" ref="O9:O41" si="6">(M9-N9)*100/N9</f>
        <v>-18.971827675363485</v>
      </c>
    </row>
    <row r="10" spans="1:15" x14ac:dyDescent="0.25">
      <c r="A10" s="6" t="s">
        <v>13</v>
      </c>
      <c r="B10" s="17">
        <f>120147+13062</f>
        <v>133209</v>
      </c>
      <c r="C10" s="17">
        <f>104521+5355</f>
        <v>109876</v>
      </c>
      <c r="D10" s="17">
        <f t="shared" si="0"/>
        <v>243085</v>
      </c>
      <c r="E10" s="17">
        <f>92268+4143</f>
        <v>96411</v>
      </c>
      <c r="F10" s="17">
        <f>88553+3380</f>
        <v>91933</v>
      </c>
      <c r="G10" s="17">
        <f t="shared" si="1"/>
        <v>188344</v>
      </c>
      <c r="H10" s="17">
        <f>33101+2503</f>
        <v>35604</v>
      </c>
      <c r="I10" s="17">
        <f>29636+2480</f>
        <v>32116</v>
      </c>
      <c r="J10" s="17">
        <f t="shared" si="2"/>
        <v>67720</v>
      </c>
      <c r="K10" s="41">
        <f t="shared" si="4"/>
        <v>265224</v>
      </c>
      <c r="L10" s="41">
        <f t="shared" si="5"/>
        <v>233925</v>
      </c>
      <c r="M10" s="41">
        <f t="shared" si="3"/>
        <v>499149</v>
      </c>
      <c r="N10" s="48">
        <v>821101</v>
      </c>
      <c r="O10" s="46">
        <f t="shared" si="6"/>
        <v>-39.20979270516051</v>
      </c>
    </row>
    <row r="11" spans="1:15" x14ac:dyDescent="0.25">
      <c r="A11" s="6" t="s">
        <v>14</v>
      </c>
      <c r="B11" s="17">
        <f>31905+792</f>
        <v>32697</v>
      </c>
      <c r="C11" s="17">
        <f>31489+690</f>
        <v>32179</v>
      </c>
      <c r="D11" s="17">
        <f t="shared" si="0"/>
        <v>64876</v>
      </c>
      <c r="E11" s="17">
        <f>22111+808</f>
        <v>22919</v>
      </c>
      <c r="F11" s="17">
        <f>21416+488</f>
        <v>21904</v>
      </c>
      <c r="G11" s="17">
        <f t="shared" si="1"/>
        <v>44823</v>
      </c>
      <c r="H11" s="17">
        <f>6566+681</f>
        <v>7247</v>
      </c>
      <c r="I11" s="17">
        <f>6830+802</f>
        <v>7632</v>
      </c>
      <c r="J11" s="17">
        <f t="shared" si="2"/>
        <v>14879</v>
      </c>
      <c r="K11" s="41">
        <f t="shared" si="4"/>
        <v>62863</v>
      </c>
      <c r="L11" s="41">
        <f t="shared" si="5"/>
        <v>61715</v>
      </c>
      <c r="M11" s="41">
        <f t="shared" si="3"/>
        <v>124578</v>
      </c>
      <c r="N11" s="48">
        <v>220592</v>
      </c>
      <c r="O11" s="46">
        <f t="shared" si="6"/>
        <v>-43.525603829694639</v>
      </c>
    </row>
    <row r="12" spans="1:15" x14ac:dyDescent="0.25">
      <c r="A12" s="6" t="s">
        <v>15</v>
      </c>
      <c r="B12" s="17">
        <f>28333+1862</f>
        <v>30195</v>
      </c>
      <c r="C12" s="17">
        <f>30542+1992</f>
        <v>32534</v>
      </c>
      <c r="D12" s="17">
        <f t="shared" si="0"/>
        <v>62729</v>
      </c>
      <c r="E12" s="17">
        <f>29734+2334</f>
        <v>32068</v>
      </c>
      <c r="F12" s="17">
        <f>29439+2278</f>
        <v>31717</v>
      </c>
      <c r="G12" s="17">
        <f t="shared" si="1"/>
        <v>63785</v>
      </c>
      <c r="H12" s="17">
        <f>28301+3560</f>
        <v>31861</v>
      </c>
      <c r="I12" s="17">
        <f>27954+3514</f>
        <v>31468</v>
      </c>
      <c r="J12" s="17">
        <f t="shared" si="2"/>
        <v>63329</v>
      </c>
      <c r="K12" s="41">
        <f t="shared" si="4"/>
        <v>94124</v>
      </c>
      <c r="L12" s="41">
        <f t="shared" si="5"/>
        <v>95719</v>
      </c>
      <c r="M12" s="41">
        <f t="shared" si="3"/>
        <v>189843</v>
      </c>
      <c r="N12" s="48">
        <v>252260</v>
      </c>
      <c r="O12" s="46">
        <f t="shared" si="6"/>
        <v>-24.74312217553318</v>
      </c>
    </row>
    <row r="13" spans="1:15" x14ac:dyDescent="0.25">
      <c r="A13" s="6" t="s">
        <v>16</v>
      </c>
      <c r="B13" s="17">
        <v>3427</v>
      </c>
      <c r="C13" s="17">
        <v>5282</v>
      </c>
      <c r="D13" s="17">
        <f t="shared" si="0"/>
        <v>8709</v>
      </c>
      <c r="E13" s="17">
        <f>2195</f>
        <v>2195</v>
      </c>
      <c r="F13" s="17">
        <v>2779</v>
      </c>
      <c r="G13" s="17">
        <f t="shared" si="1"/>
        <v>4974</v>
      </c>
      <c r="H13" s="17">
        <v>3168</v>
      </c>
      <c r="I13" s="17">
        <v>3010</v>
      </c>
      <c r="J13" s="17">
        <f t="shared" si="2"/>
        <v>6178</v>
      </c>
      <c r="K13" s="41">
        <f t="shared" si="4"/>
        <v>8790</v>
      </c>
      <c r="L13" s="41">
        <f t="shared" si="5"/>
        <v>11071</v>
      </c>
      <c r="M13" s="41">
        <f t="shared" si="3"/>
        <v>19861</v>
      </c>
      <c r="N13" s="48">
        <v>23943</v>
      </c>
      <c r="O13" s="46">
        <f t="shared" si="6"/>
        <v>-17.048824291024516</v>
      </c>
    </row>
    <row r="14" spans="1:15" x14ac:dyDescent="0.25">
      <c r="A14" s="6" t="s">
        <v>17</v>
      </c>
      <c r="B14" s="17">
        <f>7769+1015</f>
        <v>8784</v>
      </c>
      <c r="C14" s="17">
        <f>8038+94</f>
        <v>8132</v>
      </c>
      <c r="D14" s="17">
        <f t="shared" si="0"/>
        <v>16916</v>
      </c>
      <c r="E14" s="17">
        <f>7969+62</f>
        <v>8031</v>
      </c>
      <c r="F14" s="17">
        <f>7844+78</f>
        <v>7922</v>
      </c>
      <c r="G14" s="17">
        <f t="shared" si="1"/>
        <v>15953</v>
      </c>
      <c r="H14" s="17">
        <f>7393+163</f>
        <v>7556</v>
      </c>
      <c r="I14" s="17">
        <f>7194+98</f>
        <v>7292</v>
      </c>
      <c r="J14" s="17">
        <f t="shared" si="2"/>
        <v>14848</v>
      </c>
      <c r="K14" s="41">
        <f t="shared" si="4"/>
        <v>24371</v>
      </c>
      <c r="L14" s="41">
        <f t="shared" si="5"/>
        <v>23346</v>
      </c>
      <c r="M14" s="41">
        <f t="shared" si="3"/>
        <v>47717</v>
      </c>
      <c r="N14" s="48">
        <v>63004</v>
      </c>
      <c r="O14" s="46">
        <f t="shared" si="6"/>
        <v>-24.263538822931878</v>
      </c>
    </row>
    <row r="15" spans="1:15" x14ac:dyDescent="0.25">
      <c r="A15" s="6" t="s">
        <v>18</v>
      </c>
      <c r="B15" s="17">
        <f>7571+7</f>
        <v>7578</v>
      </c>
      <c r="C15" s="17">
        <f>6083+2</f>
        <v>6085</v>
      </c>
      <c r="D15" s="17">
        <f t="shared" si="0"/>
        <v>13663</v>
      </c>
      <c r="E15" s="17">
        <f>5132+0</f>
        <v>5132</v>
      </c>
      <c r="F15" s="17">
        <f>5808+5</f>
        <v>5813</v>
      </c>
      <c r="G15" s="17">
        <f t="shared" si="1"/>
        <v>10945</v>
      </c>
      <c r="H15" s="17">
        <f>6930+13</f>
        <v>6943</v>
      </c>
      <c r="I15" s="17">
        <f>6947+3</f>
        <v>6950</v>
      </c>
      <c r="J15" s="17">
        <f t="shared" si="2"/>
        <v>13893</v>
      </c>
      <c r="K15" s="41">
        <f t="shared" si="4"/>
        <v>19653</v>
      </c>
      <c r="L15" s="41">
        <f t="shared" si="5"/>
        <v>18848</v>
      </c>
      <c r="M15" s="41">
        <f t="shared" si="3"/>
        <v>38501</v>
      </c>
      <c r="N15" s="48">
        <v>45503</v>
      </c>
      <c r="O15" s="46">
        <f t="shared" si="6"/>
        <v>-15.387996395842032</v>
      </c>
    </row>
    <row r="16" spans="1:15" x14ac:dyDescent="0.25">
      <c r="A16" s="6" t="s">
        <v>19</v>
      </c>
      <c r="B16" s="17">
        <f>9436+30</f>
        <v>9466</v>
      </c>
      <c r="C16" s="17">
        <f>13975+80</f>
        <v>14055</v>
      </c>
      <c r="D16" s="17">
        <f t="shared" si="0"/>
        <v>23521</v>
      </c>
      <c r="E16" s="17">
        <f>10626+202</f>
        <v>10828</v>
      </c>
      <c r="F16" s="17">
        <f>10885+236</f>
        <v>11121</v>
      </c>
      <c r="G16" s="17">
        <f t="shared" si="1"/>
        <v>21949</v>
      </c>
      <c r="H16" s="17">
        <f>9307+95</f>
        <v>9402</v>
      </c>
      <c r="I16" s="17">
        <f>9139+86</f>
        <v>9225</v>
      </c>
      <c r="J16" s="17">
        <f t="shared" si="2"/>
        <v>18627</v>
      </c>
      <c r="K16" s="41">
        <f t="shared" si="4"/>
        <v>29696</v>
      </c>
      <c r="L16" s="41">
        <f t="shared" si="5"/>
        <v>34401</v>
      </c>
      <c r="M16" s="41">
        <f t="shared" si="3"/>
        <v>64097</v>
      </c>
      <c r="N16" s="48">
        <v>89554</v>
      </c>
      <c r="O16" s="46">
        <f t="shared" si="6"/>
        <v>-28.426424280322486</v>
      </c>
    </row>
    <row r="17" spans="1:15" x14ac:dyDescent="0.25">
      <c r="A17" s="6" t="s">
        <v>20</v>
      </c>
      <c r="B17" s="17">
        <v>1355</v>
      </c>
      <c r="C17" s="17">
        <v>2998</v>
      </c>
      <c r="D17" s="17">
        <f t="shared" si="0"/>
        <v>4353</v>
      </c>
      <c r="E17" s="17">
        <v>668</v>
      </c>
      <c r="F17" s="17">
        <v>1196</v>
      </c>
      <c r="G17" s="17">
        <v>1864</v>
      </c>
      <c r="H17" s="17">
        <v>1209</v>
      </c>
      <c r="I17" s="17">
        <v>1963</v>
      </c>
      <c r="J17" s="17">
        <f t="shared" si="2"/>
        <v>3172</v>
      </c>
      <c r="K17" s="41">
        <f t="shared" si="4"/>
        <v>3232</v>
      </c>
      <c r="L17" s="41">
        <f t="shared" si="5"/>
        <v>6157</v>
      </c>
      <c r="M17" s="41">
        <f t="shared" si="3"/>
        <v>9389</v>
      </c>
      <c r="N17" s="48">
        <v>9391</v>
      </c>
      <c r="O17" s="46">
        <f t="shared" si="6"/>
        <v>-2.1296986476413586E-2</v>
      </c>
    </row>
    <row r="18" spans="1:15" x14ac:dyDescent="0.25">
      <c r="A18" s="6" t="s">
        <v>21</v>
      </c>
      <c r="B18" s="17">
        <v>0</v>
      </c>
      <c r="C18" s="17">
        <v>0</v>
      </c>
      <c r="D18" s="17">
        <f t="shared" si="0"/>
        <v>0</v>
      </c>
      <c r="E18" s="17">
        <v>0</v>
      </c>
      <c r="F18" s="17">
        <v>0</v>
      </c>
      <c r="G18" s="17">
        <f>SUM(E18:F18)</f>
        <v>0</v>
      </c>
      <c r="H18" s="17">
        <v>0</v>
      </c>
      <c r="I18" s="17">
        <v>0</v>
      </c>
      <c r="J18" s="17">
        <f t="shared" si="2"/>
        <v>0</v>
      </c>
      <c r="K18" s="41">
        <f t="shared" si="4"/>
        <v>0</v>
      </c>
      <c r="L18" s="41">
        <f t="shared" si="5"/>
        <v>0</v>
      </c>
      <c r="M18" s="41">
        <f t="shared" si="3"/>
        <v>0</v>
      </c>
      <c r="N18" s="48">
        <v>41219</v>
      </c>
      <c r="O18" s="46">
        <f t="shared" si="6"/>
        <v>-100</v>
      </c>
    </row>
    <row r="19" spans="1:15" x14ac:dyDescent="0.25">
      <c r="A19" s="6" t="s">
        <v>22</v>
      </c>
      <c r="B19" s="17">
        <f>3591+82</f>
        <v>3673</v>
      </c>
      <c r="C19" s="17">
        <f>3486+94</f>
        <v>3580</v>
      </c>
      <c r="D19" s="17">
        <f t="shared" si="0"/>
        <v>7253</v>
      </c>
      <c r="E19" s="17">
        <f>3570+166</f>
        <v>3736</v>
      </c>
      <c r="F19" s="17">
        <f>3526+111</f>
        <v>3637</v>
      </c>
      <c r="G19" s="17">
        <f>SUM(E19:F19)</f>
        <v>7373</v>
      </c>
      <c r="H19" s="17"/>
      <c r="I19" s="17"/>
      <c r="J19" s="17"/>
      <c r="K19" s="41">
        <f t="shared" si="4"/>
        <v>7409</v>
      </c>
      <c r="L19" s="41">
        <f t="shared" si="5"/>
        <v>7217</v>
      </c>
      <c r="M19" s="41">
        <f t="shared" si="3"/>
        <v>14626</v>
      </c>
      <c r="N19" s="48">
        <v>20312</v>
      </c>
      <c r="O19" s="46">
        <f t="shared" si="6"/>
        <v>-27.993304450571092</v>
      </c>
    </row>
    <row r="20" spans="1:15" x14ac:dyDescent="0.25">
      <c r="A20" s="6" t="s">
        <v>23</v>
      </c>
      <c r="B20" s="17">
        <v>0</v>
      </c>
      <c r="C20" s="17">
        <v>0</v>
      </c>
      <c r="D20" s="17">
        <f t="shared" si="0"/>
        <v>0</v>
      </c>
      <c r="E20" s="17">
        <v>0</v>
      </c>
      <c r="F20" s="17">
        <v>0</v>
      </c>
      <c r="G20" s="17">
        <f>SUM(E20:F20)</f>
        <v>0</v>
      </c>
      <c r="H20" s="17"/>
      <c r="I20" s="17"/>
      <c r="J20" s="17"/>
      <c r="K20" s="41">
        <f t="shared" si="4"/>
        <v>0</v>
      </c>
      <c r="L20" s="41">
        <f t="shared" si="5"/>
        <v>0</v>
      </c>
      <c r="M20" s="41">
        <f t="shared" si="3"/>
        <v>0</v>
      </c>
      <c r="N20" s="48">
        <v>177</v>
      </c>
      <c r="O20" s="46">
        <f t="shared" si="6"/>
        <v>-100</v>
      </c>
    </row>
    <row r="21" spans="1:15" x14ac:dyDescent="0.25">
      <c r="A21" s="6" t="s">
        <v>24</v>
      </c>
      <c r="B21" s="17">
        <f>4898+31</f>
        <v>4929</v>
      </c>
      <c r="C21" s="17">
        <f>6072+27</f>
        <v>6099</v>
      </c>
      <c r="D21" s="17">
        <f t="shared" si="0"/>
        <v>11028</v>
      </c>
      <c r="E21" s="17" t="s">
        <v>53</v>
      </c>
      <c r="F21" s="17"/>
      <c r="G21" s="17"/>
      <c r="H21" s="17">
        <f>5927+329</f>
        <v>6256</v>
      </c>
      <c r="I21" s="17">
        <f>6010+210</f>
        <v>6220</v>
      </c>
      <c r="J21" s="17">
        <f>SUM(H21:I21)</f>
        <v>12476</v>
      </c>
      <c r="K21" s="41">
        <v>11185</v>
      </c>
      <c r="L21" s="41">
        <f t="shared" si="5"/>
        <v>12319</v>
      </c>
      <c r="M21" s="41">
        <f t="shared" si="3"/>
        <v>23504</v>
      </c>
      <c r="N21" s="48">
        <v>49445</v>
      </c>
      <c r="O21" s="46">
        <f t="shared" si="6"/>
        <v>-52.464354333097383</v>
      </c>
    </row>
    <row r="22" spans="1:15" x14ac:dyDescent="0.25">
      <c r="A22" s="6" t="s">
        <v>25</v>
      </c>
      <c r="B22" s="17">
        <v>0</v>
      </c>
      <c r="C22" s="17">
        <v>0</v>
      </c>
      <c r="D22" s="17">
        <f t="shared" si="0"/>
        <v>0</v>
      </c>
      <c r="E22" s="17"/>
      <c r="F22" s="17"/>
      <c r="G22" s="17"/>
      <c r="H22" s="17">
        <v>0</v>
      </c>
      <c r="I22" s="17">
        <v>0</v>
      </c>
      <c r="J22" s="17">
        <f>SUM(H22:I22)</f>
        <v>0</v>
      </c>
      <c r="K22" s="41">
        <f t="shared" si="4"/>
        <v>0</v>
      </c>
      <c r="L22" s="41">
        <f t="shared" si="5"/>
        <v>0</v>
      </c>
      <c r="M22" s="41">
        <f t="shared" si="3"/>
        <v>0</v>
      </c>
      <c r="N22" s="48">
        <v>0</v>
      </c>
      <c r="O22" s="46"/>
    </row>
    <row r="23" spans="1:15" x14ac:dyDescent="0.25">
      <c r="A23" s="6" t="s">
        <v>26</v>
      </c>
      <c r="B23" s="17">
        <f>742+126</f>
        <v>868</v>
      </c>
      <c r="C23" s="17">
        <f>760+104</f>
        <v>864</v>
      </c>
      <c r="D23" s="17">
        <f t="shared" si="0"/>
        <v>1732</v>
      </c>
      <c r="E23" s="17"/>
      <c r="F23" s="17"/>
      <c r="G23" s="17"/>
      <c r="H23" s="17"/>
      <c r="I23" s="17"/>
      <c r="J23" s="17"/>
      <c r="K23" s="41">
        <f t="shared" si="4"/>
        <v>868</v>
      </c>
      <c r="L23" s="41">
        <f t="shared" si="5"/>
        <v>864</v>
      </c>
      <c r="M23" s="41">
        <f t="shared" si="3"/>
        <v>1732</v>
      </c>
      <c r="N23" s="48">
        <v>20970</v>
      </c>
      <c r="O23" s="46">
        <f t="shared" si="6"/>
        <v>-91.740581783500232</v>
      </c>
    </row>
    <row r="24" spans="1:15" x14ac:dyDescent="0.25">
      <c r="A24" s="6" t="s">
        <v>27</v>
      </c>
      <c r="B24" s="17">
        <f>742+126</f>
        <v>868</v>
      </c>
      <c r="C24" s="17">
        <f>760+104</f>
        <v>864</v>
      </c>
      <c r="D24" s="17">
        <f t="shared" si="0"/>
        <v>1732</v>
      </c>
      <c r="E24" s="17"/>
      <c r="F24" s="17"/>
      <c r="G24" s="17"/>
      <c r="H24" s="17"/>
      <c r="I24" s="17"/>
      <c r="J24" s="17"/>
      <c r="K24" s="41">
        <f t="shared" si="4"/>
        <v>868</v>
      </c>
      <c r="L24" s="41">
        <f t="shared" si="5"/>
        <v>864</v>
      </c>
      <c r="M24" s="41">
        <f t="shared" si="3"/>
        <v>1732</v>
      </c>
      <c r="N24" s="48">
        <v>0</v>
      </c>
      <c r="O24" s="46"/>
    </row>
    <row r="25" spans="1:15" x14ac:dyDescent="0.25">
      <c r="A25" s="6" t="s">
        <v>28</v>
      </c>
      <c r="B25" s="17">
        <f>6948+116</f>
        <v>7064</v>
      </c>
      <c r="C25" s="17">
        <f>7030+135</f>
        <v>7165</v>
      </c>
      <c r="D25" s="17">
        <f t="shared" si="0"/>
        <v>14229</v>
      </c>
      <c r="E25" s="17">
        <f>7614+192</f>
        <v>7806</v>
      </c>
      <c r="F25" s="17">
        <f>7469+168</f>
        <v>7637</v>
      </c>
      <c r="G25" s="17">
        <f>SUM(E25:F25)</f>
        <v>15443</v>
      </c>
      <c r="H25" s="17">
        <f>8425+227</f>
        <v>8652</v>
      </c>
      <c r="I25" s="17"/>
      <c r="J25" s="17">
        <f>SUM(H25:I25)</f>
        <v>8652</v>
      </c>
      <c r="K25" s="41">
        <f t="shared" si="4"/>
        <v>23522</v>
      </c>
      <c r="L25" s="41">
        <f t="shared" si="5"/>
        <v>14802</v>
      </c>
      <c r="M25" s="41">
        <f t="shared" si="3"/>
        <v>38324</v>
      </c>
      <c r="N25" s="48">
        <v>38138</v>
      </c>
      <c r="O25" s="46">
        <f t="shared" si="6"/>
        <v>0.48770255388326605</v>
      </c>
    </row>
    <row r="26" spans="1:15" x14ac:dyDescent="0.25">
      <c r="A26" s="6" t="s">
        <v>29</v>
      </c>
      <c r="B26" s="17"/>
      <c r="C26" s="17"/>
      <c r="D26" s="17"/>
      <c r="E26" s="17"/>
      <c r="F26" s="17"/>
      <c r="G26" s="17"/>
      <c r="H26" s="17"/>
      <c r="I26" s="17"/>
      <c r="J26" s="17"/>
      <c r="K26" s="41">
        <f t="shared" si="4"/>
        <v>0</v>
      </c>
      <c r="L26" s="41">
        <f t="shared" si="5"/>
        <v>0</v>
      </c>
      <c r="M26" s="41">
        <f t="shared" si="3"/>
        <v>0</v>
      </c>
      <c r="N26" s="48">
        <v>23308</v>
      </c>
      <c r="O26" s="46">
        <f t="shared" si="6"/>
        <v>-100</v>
      </c>
    </row>
    <row r="27" spans="1:15" x14ac:dyDescent="0.25">
      <c r="A27" s="6" t="s">
        <v>30</v>
      </c>
      <c r="B27" s="17"/>
      <c r="C27" s="17"/>
      <c r="D27" s="17"/>
      <c r="E27" s="17"/>
      <c r="F27" s="17"/>
      <c r="G27" s="17"/>
      <c r="H27" s="17"/>
      <c r="I27" s="17"/>
      <c r="J27" s="17"/>
      <c r="K27" s="41">
        <f t="shared" si="4"/>
        <v>0</v>
      </c>
      <c r="L27" s="41">
        <f t="shared" si="5"/>
        <v>0</v>
      </c>
      <c r="M27" s="41">
        <f t="shared" si="3"/>
        <v>0</v>
      </c>
      <c r="N27" s="48">
        <v>0</v>
      </c>
      <c r="O27" s="46"/>
    </row>
    <row r="28" spans="1:15" x14ac:dyDescent="0.25">
      <c r="A28" s="6" t="s">
        <v>31</v>
      </c>
      <c r="B28" s="17">
        <f>694+10</f>
        <v>704</v>
      </c>
      <c r="C28" s="17">
        <f>700+24</f>
        <v>724</v>
      </c>
      <c r="D28" s="17">
        <f>SUM(B28:C28)</f>
        <v>1428</v>
      </c>
      <c r="E28" s="17">
        <f>848+158</f>
        <v>1006</v>
      </c>
      <c r="F28" s="17">
        <f>726+108</f>
        <v>834</v>
      </c>
      <c r="G28" s="17">
        <f t="shared" ref="G28:G33" si="7">SUM(E28:F28)</f>
        <v>1840</v>
      </c>
      <c r="H28" s="17">
        <f>1516+323</f>
        <v>1839</v>
      </c>
      <c r="I28" s="17">
        <f>1330+295</f>
        <v>1625</v>
      </c>
      <c r="J28" s="17">
        <f>SUM(H28:I28)</f>
        <v>3464</v>
      </c>
      <c r="K28" s="41">
        <f t="shared" si="4"/>
        <v>3549</v>
      </c>
      <c r="L28" s="41">
        <f t="shared" si="5"/>
        <v>3183</v>
      </c>
      <c r="M28" s="41">
        <f t="shared" si="3"/>
        <v>6732</v>
      </c>
      <c r="N28" s="48">
        <v>11605</v>
      </c>
      <c r="O28" s="46">
        <f t="shared" si="6"/>
        <v>-41.990521327014221</v>
      </c>
    </row>
    <row r="29" spans="1:15" x14ac:dyDescent="0.25">
      <c r="A29" s="6" t="s">
        <v>32</v>
      </c>
      <c r="B29" s="17">
        <f>17366+145</f>
        <v>17511</v>
      </c>
      <c r="C29" s="17">
        <f>17109+169</f>
        <v>17278</v>
      </c>
      <c r="D29" s="17">
        <f>SUM(B29:C29)</f>
        <v>34789</v>
      </c>
      <c r="E29" s="17">
        <f>13990+177</f>
        <v>14167</v>
      </c>
      <c r="F29" s="17">
        <f>14132+271</f>
        <v>14403</v>
      </c>
      <c r="G29" s="17">
        <f t="shared" si="7"/>
        <v>28570</v>
      </c>
      <c r="H29" s="17"/>
      <c r="I29" s="17"/>
      <c r="J29" s="17"/>
      <c r="K29" s="41">
        <f t="shared" si="4"/>
        <v>31678</v>
      </c>
      <c r="L29" s="41">
        <f t="shared" si="5"/>
        <v>31681</v>
      </c>
      <c r="M29" s="41">
        <f t="shared" si="3"/>
        <v>63359</v>
      </c>
      <c r="N29" s="48">
        <v>101744</v>
      </c>
      <c r="O29" s="46">
        <f t="shared" si="6"/>
        <v>-37.727040415159614</v>
      </c>
    </row>
    <row r="30" spans="1:15" x14ac:dyDescent="0.25">
      <c r="A30" s="6" t="s">
        <v>33</v>
      </c>
      <c r="B30" s="17"/>
      <c r="C30" s="17"/>
      <c r="D30" s="17"/>
      <c r="E30" s="17">
        <f>3480+177</f>
        <v>3657</v>
      </c>
      <c r="F30" s="17">
        <f>3834+144</f>
        <v>3978</v>
      </c>
      <c r="G30" s="17">
        <f t="shared" si="7"/>
        <v>7635</v>
      </c>
      <c r="H30" s="17">
        <f>3786+252</f>
        <v>4038</v>
      </c>
      <c r="I30" s="17">
        <f>4118+237</f>
        <v>4355</v>
      </c>
      <c r="J30" s="17">
        <f>SUM(H30:I30)</f>
        <v>8393</v>
      </c>
      <c r="K30" s="41">
        <f t="shared" si="4"/>
        <v>7695</v>
      </c>
      <c r="L30" s="41">
        <f t="shared" si="5"/>
        <v>8333</v>
      </c>
      <c r="M30" s="41">
        <f t="shared" si="3"/>
        <v>16028</v>
      </c>
      <c r="N30" s="48">
        <v>35401</v>
      </c>
      <c r="O30" s="46">
        <f t="shared" si="6"/>
        <v>-54.724442812349935</v>
      </c>
    </row>
    <row r="31" spans="1:15" x14ac:dyDescent="0.25">
      <c r="A31" s="6" t="s">
        <v>34</v>
      </c>
      <c r="B31" s="17"/>
      <c r="C31" s="17"/>
      <c r="D31" s="17"/>
      <c r="E31" s="17">
        <v>0</v>
      </c>
      <c r="F31" s="17">
        <v>0</v>
      </c>
      <c r="G31" s="17">
        <f t="shared" si="7"/>
        <v>0</v>
      </c>
      <c r="H31" s="17">
        <v>93</v>
      </c>
      <c r="I31" s="17">
        <v>93</v>
      </c>
      <c r="J31" s="17">
        <f>SUM(H31:I31)</f>
        <v>186</v>
      </c>
      <c r="K31" s="41">
        <f t="shared" si="4"/>
        <v>93</v>
      </c>
      <c r="L31" s="41">
        <f t="shared" si="5"/>
        <v>93</v>
      </c>
      <c r="M31" s="41">
        <f t="shared" si="3"/>
        <v>186</v>
      </c>
      <c r="N31" s="48">
        <v>0</v>
      </c>
      <c r="O31" s="46"/>
    </row>
    <row r="32" spans="1:15" x14ac:dyDescent="0.25">
      <c r="A32" s="6" t="s">
        <v>35</v>
      </c>
      <c r="B32" s="17">
        <f>2048+50</f>
        <v>2098</v>
      </c>
      <c r="C32" s="17">
        <f>1741+56</f>
        <v>1797</v>
      </c>
      <c r="D32" s="17">
        <f>SUM(B32:C32)</f>
        <v>3895</v>
      </c>
      <c r="E32" s="17">
        <f>2100+38</f>
        <v>2138</v>
      </c>
      <c r="F32" s="17">
        <f>2051+47</f>
        <v>2098</v>
      </c>
      <c r="G32" s="17">
        <f t="shared" si="7"/>
        <v>4236</v>
      </c>
      <c r="H32" s="17">
        <f>1743+35</f>
        <v>1778</v>
      </c>
      <c r="I32" s="17">
        <f>1805+23</f>
        <v>1828</v>
      </c>
      <c r="J32" s="17">
        <f>SUM(H32:I32)</f>
        <v>3606</v>
      </c>
      <c r="K32" s="41">
        <f t="shared" si="4"/>
        <v>6014</v>
      </c>
      <c r="L32" s="41">
        <f t="shared" si="5"/>
        <v>5723</v>
      </c>
      <c r="M32" s="41">
        <f t="shared" si="3"/>
        <v>11737</v>
      </c>
      <c r="N32" s="48">
        <v>18323</v>
      </c>
      <c r="O32" s="46">
        <f t="shared" si="6"/>
        <v>-35.943895650275607</v>
      </c>
    </row>
    <row r="33" spans="1:15" x14ac:dyDescent="0.25">
      <c r="A33" s="6" t="s">
        <v>36</v>
      </c>
      <c r="B33" s="17">
        <v>0</v>
      </c>
      <c r="C33" s="17">
        <v>0</v>
      </c>
      <c r="D33" s="17">
        <f>SUM(B33:C33)</f>
        <v>0</v>
      </c>
      <c r="E33" s="17">
        <v>0</v>
      </c>
      <c r="F33" s="17">
        <v>0</v>
      </c>
      <c r="G33" s="17">
        <f t="shared" si="7"/>
        <v>0</v>
      </c>
      <c r="H33" s="17">
        <v>0</v>
      </c>
      <c r="I33" s="17">
        <v>0</v>
      </c>
      <c r="J33" s="17">
        <f>SUM(H33:I33)</f>
        <v>0</v>
      </c>
      <c r="K33" s="41">
        <f t="shared" si="4"/>
        <v>0</v>
      </c>
      <c r="L33" s="41">
        <f t="shared" si="5"/>
        <v>0</v>
      </c>
      <c r="M33" s="41">
        <f t="shared" si="3"/>
        <v>0</v>
      </c>
      <c r="N33" s="48">
        <v>0</v>
      </c>
      <c r="O33" s="46"/>
    </row>
    <row r="34" spans="1:15" x14ac:dyDescent="0.25">
      <c r="A34" s="6" t="s">
        <v>37</v>
      </c>
      <c r="B34" s="17">
        <f>1319+57</f>
        <v>1376</v>
      </c>
      <c r="C34" s="17">
        <f>1384+58</f>
        <v>1442</v>
      </c>
      <c r="D34" s="17">
        <f>SUM(B34:C34)</f>
        <v>2818</v>
      </c>
      <c r="E34" s="17">
        <f>1532+31</f>
        <v>1563</v>
      </c>
      <c r="F34" s="17">
        <f>1492+60</f>
        <v>1552</v>
      </c>
      <c r="G34" s="17">
        <f>SUM(E34:F34)</f>
        <v>3115</v>
      </c>
      <c r="H34" s="17">
        <f>951+65</f>
        <v>1016</v>
      </c>
      <c r="I34" s="17">
        <f>985+75</f>
        <v>1060</v>
      </c>
      <c r="J34" s="17">
        <f>SUM(H34:I34)</f>
        <v>2076</v>
      </c>
      <c r="K34" s="41">
        <f t="shared" si="4"/>
        <v>3955</v>
      </c>
      <c r="L34" s="41">
        <f t="shared" si="5"/>
        <v>4054</v>
      </c>
      <c r="M34" s="41">
        <f t="shared" si="3"/>
        <v>8009</v>
      </c>
      <c r="N34" s="48">
        <v>0</v>
      </c>
      <c r="O34" s="46"/>
    </row>
    <row r="35" spans="1:15" x14ac:dyDescent="0.25">
      <c r="A35" s="6" t="s">
        <v>38</v>
      </c>
      <c r="B35" s="17">
        <v>181</v>
      </c>
      <c r="C35" s="17">
        <v>194</v>
      </c>
      <c r="D35" s="17">
        <f t="shared" ref="D35:D41" si="8">SUM(B35:C35)</f>
        <v>375</v>
      </c>
      <c r="E35" s="17">
        <v>158</v>
      </c>
      <c r="F35" s="17">
        <v>127</v>
      </c>
      <c r="G35" s="17">
        <f t="shared" ref="G35:G41" si="9">SUM(E35:F35)</f>
        <v>285</v>
      </c>
      <c r="H35" s="17"/>
      <c r="I35" s="17"/>
      <c r="J35" s="17"/>
      <c r="K35" s="41">
        <f t="shared" si="4"/>
        <v>339</v>
      </c>
      <c r="L35" s="41">
        <f t="shared" si="5"/>
        <v>321</v>
      </c>
      <c r="M35" s="41">
        <f t="shared" si="3"/>
        <v>660</v>
      </c>
      <c r="N35" s="48">
        <v>1280</v>
      </c>
      <c r="O35" s="46">
        <f t="shared" si="6"/>
        <v>-48.4375</v>
      </c>
    </row>
    <row r="36" spans="1:15" x14ac:dyDescent="0.25">
      <c r="A36" s="6" t="s">
        <v>39</v>
      </c>
      <c r="B36" s="17">
        <v>0</v>
      </c>
      <c r="C36" s="17">
        <v>0</v>
      </c>
      <c r="D36" s="17">
        <f t="shared" si="8"/>
        <v>0</v>
      </c>
      <c r="E36" s="17">
        <v>0</v>
      </c>
      <c r="F36" s="17">
        <v>0</v>
      </c>
      <c r="G36" s="17">
        <f t="shared" si="9"/>
        <v>0</v>
      </c>
      <c r="H36" s="17"/>
      <c r="I36" s="17"/>
      <c r="J36" s="17"/>
      <c r="K36" s="41">
        <f t="shared" si="4"/>
        <v>0</v>
      </c>
      <c r="L36" s="41">
        <f t="shared" si="5"/>
        <v>0</v>
      </c>
      <c r="M36" s="41">
        <f t="shared" si="3"/>
        <v>0</v>
      </c>
      <c r="N36" s="48">
        <v>0</v>
      </c>
      <c r="O36" s="46"/>
    </row>
    <row r="37" spans="1:15" x14ac:dyDescent="0.25">
      <c r="A37" s="6" t="s">
        <v>40</v>
      </c>
      <c r="B37" s="17">
        <f>176+37</f>
        <v>213</v>
      </c>
      <c r="C37" s="17">
        <f>163+54</f>
        <v>217</v>
      </c>
      <c r="D37" s="17">
        <f t="shared" si="8"/>
        <v>430</v>
      </c>
      <c r="E37" s="17">
        <f>228+235</f>
        <v>463</v>
      </c>
      <c r="F37" s="17">
        <f>163+227</f>
        <v>390</v>
      </c>
      <c r="G37" s="17">
        <f t="shared" si="9"/>
        <v>853</v>
      </c>
      <c r="H37" s="17">
        <f>13+56</f>
        <v>69</v>
      </c>
      <c r="I37" s="17">
        <f>14+54</f>
        <v>68</v>
      </c>
      <c r="J37" s="17">
        <f>SUM(H37:I37)</f>
        <v>137</v>
      </c>
      <c r="K37" s="41">
        <f t="shared" si="4"/>
        <v>745</v>
      </c>
      <c r="L37" s="41">
        <f t="shared" si="5"/>
        <v>675</v>
      </c>
      <c r="M37" s="41">
        <f t="shared" si="3"/>
        <v>1420</v>
      </c>
      <c r="N37" s="48">
        <v>426</v>
      </c>
      <c r="O37" s="46">
        <f t="shared" si="6"/>
        <v>233.33333333333334</v>
      </c>
    </row>
    <row r="38" spans="1:15" x14ac:dyDescent="0.25">
      <c r="A38" s="6" t="s">
        <v>41</v>
      </c>
      <c r="B38" s="17">
        <v>84</v>
      </c>
      <c r="C38" s="17">
        <v>70</v>
      </c>
      <c r="D38" s="17">
        <f t="shared" si="8"/>
        <v>154</v>
      </c>
      <c r="E38" s="17">
        <f>45+44</f>
        <v>89</v>
      </c>
      <c r="F38" s="17">
        <f>44+40</f>
        <v>84</v>
      </c>
      <c r="G38" s="17">
        <f t="shared" si="9"/>
        <v>173</v>
      </c>
      <c r="H38" s="17">
        <v>41</v>
      </c>
      <c r="I38" s="17">
        <v>4</v>
      </c>
      <c r="J38" s="17">
        <v>45</v>
      </c>
      <c r="K38" s="41">
        <f t="shared" si="4"/>
        <v>214</v>
      </c>
      <c r="L38" s="41">
        <f t="shared" si="5"/>
        <v>158</v>
      </c>
      <c r="M38" s="41">
        <f t="shared" si="3"/>
        <v>372</v>
      </c>
      <c r="N38" s="48">
        <v>405</v>
      </c>
      <c r="O38" s="46">
        <f t="shared" si="6"/>
        <v>-8.1481481481481488</v>
      </c>
    </row>
    <row r="39" spans="1:15" x14ac:dyDescent="0.25">
      <c r="A39" s="6" t="s">
        <v>42</v>
      </c>
      <c r="B39" s="17">
        <v>0</v>
      </c>
      <c r="C39" s="17">
        <v>0</v>
      </c>
      <c r="D39" s="17">
        <f t="shared" si="8"/>
        <v>0</v>
      </c>
      <c r="E39" s="17">
        <v>0</v>
      </c>
      <c r="F39" s="17">
        <v>0</v>
      </c>
      <c r="G39" s="17">
        <f t="shared" si="9"/>
        <v>0</v>
      </c>
      <c r="H39" s="17">
        <v>0</v>
      </c>
      <c r="I39" s="17">
        <v>0</v>
      </c>
      <c r="J39" s="17">
        <v>0</v>
      </c>
      <c r="K39" s="41">
        <f t="shared" si="4"/>
        <v>0</v>
      </c>
      <c r="L39" s="41">
        <f t="shared" si="5"/>
        <v>0</v>
      </c>
      <c r="M39" s="41">
        <f t="shared" si="3"/>
        <v>0</v>
      </c>
      <c r="N39" s="48">
        <v>0</v>
      </c>
      <c r="O39" s="46"/>
    </row>
    <row r="40" spans="1:15" x14ac:dyDescent="0.25">
      <c r="A40" s="6" t="s">
        <v>43</v>
      </c>
      <c r="B40" s="17">
        <v>12</v>
      </c>
      <c r="C40" s="17">
        <v>24</v>
      </c>
      <c r="D40" s="17">
        <f t="shared" si="8"/>
        <v>36</v>
      </c>
      <c r="E40" s="17">
        <v>0</v>
      </c>
      <c r="F40" s="17">
        <v>0</v>
      </c>
      <c r="G40" s="17">
        <f t="shared" si="9"/>
        <v>0</v>
      </c>
      <c r="H40" s="17">
        <v>91</v>
      </c>
      <c r="I40" s="17">
        <v>90</v>
      </c>
      <c r="J40" s="17">
        <f>SUM(H40:I40)</f>
        <v>181</v>
      </c>
      <c r="K40" s="41">
        <f t="shared" si="4"/>
        <v>103</v>
      </c>
      <c r="L40" s="41">
        <f t="shared" si="5"/>
        <v>114</v>
      </c>
      <c r="M40" s="41">
        <f t="shared" si="3"/>
        <v>217</v>
      </c>
      <c r="N40" s="48">
        <v>84</v>
      </c>
      <c r="O40" s="46">
        <f t="shared" si="6"/>
        <v>158.33333333333334</v>
      </c>
    </row>
    <row r="41" spans="1:15" x14ac:dyDescent="0.25">
      <c r="A41" s="6" t="s">
        <v>9</v>
      </c>
      <c r="B41" s="16">
        <f>SUM(B8:B40)</f>
        <v>495269</v>
      </c>
      <c r="C41" s="16">
        <f>SUM(C8:C40)</f>
        <v>489901</v>
      </c>
      <c r="D41" s="16">
        <f t="shared" si="8"/>
        <v>985170</v>
      </c>
      <c r="E41" s="16">
        <f>SUM(E8:E40)</f>
        <v>412313</v>
      </c>
      <c r="F41" s="16">
        <f>SUM(F8:F40)</f>
        <v>424589</v>
      </c>
      <c r="G41" s="16">
        <f t="shared" si="9"/>
        <v>836902</v>
      </c>
      <c r="H41" s="16">
        <f>SUM(H8:H40)</f>
        <v>344906</v>
      </c>
      <c r="I41" s="16">
        <f>SUM(I8:I40)</f>
        <v>340366</v>
      </c>
      <c r="J41" s="16">
        <f>SUM(H41:I41)</f>
        <v>685272</v>
      </c>
      <c r="K41" s="42">
        <f t="shared" si="4"/>
        <v>1252488</v>
      </c>
      <c r="L41" s="42">
        <f t="shared" si="5"/>
        <v>1254856</v>
      </c>
      <c r="M41" s="42">
        <f t="shared" si="3"/>
        <v>2507344</v>
      </c>
      <c r="N41" s="48">
        <v>3549360</v>
      </c>
      <c r="O41" s="46">
        <f t="shared" si="6"/>
        <v>-29.357856064191854</v>
      </c>
    </row>
    <row r="43" spans="1:15" x14ac:dyDescent="0.25">
      <c r="A43" s="20"/>
      <c r="B43" s="20"/>
      <c r="H43" s="20"/>
      <c r="I43" s="20"/>
    </row>
  </sheetData>
  <mergeCells count="8">
    <mergeCell ref="A1:O1"/>
    <mergeCell ref="A2:O2"/>
    <mergeCell ref="A3:O3"/>
    <mergeCell ref="A4:O4"/>
    <mergeCell ref="B6:D6"/>
    <mergeCell ref="E6:G6"/>
    <mergeCell ref="H6:J6"/>
    <mergeCell ref="K6:M6"/>
  </mergeCells>
  <pageMargins left="0.19685039370078741" right="0.19685039370078741" top="0.27559055118110237" bottom="0.27559055118110237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9" sqref="N9"/>
    </sheetView>
  </sheetViews>
  <sheetFormatPr defaultRowHeight="15" x14ac:dyDescent="0.25"/>
  <cols>
    <col min="1" max="1" width="18.7109375" customWidth="1"/>
    <col min="2" max="3" width="9.5703125" style="56" bestFit="1" customWidth="1"/>
    <col min="4" max="4" width="10.5703125" style="56" bestFit="1" customWidth="1"/>
    <col min="5" max="7" width="9.140625" style="63"/>
    <col min="8" max="10" width="9.140625" style="70"/>
    <col min="13" max="13" width="10.85546875" customWidth="1"/>
    <col min="14" max="14" width="14" customWidth="1"/>
    <col min="15" max="15" width="23.140625" customWidth="1"/>
  </cols>
  <sheetData>
    <row r="1" spans="1:15" ht="15.75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.75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75" x14ac:dyDescent="0.25">
      <c r="A3" s="21" t="s">
        <v>44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9.5" x14ac:dyDescent="0.4">
      <c r="A4" s="22" t="s">
        <v>45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6" spans="1:15" ht="15.75" x14ac:dyDescent="0.25">
      <c r="A6" s="4"/>
      <c r="B6" s="50"/>
      <c r="C6" s="50"/>
      <c r="D6" s="50"/>
      <c r="E6" s="57"/>
      <c r="F6" s="57"/>
      <c r="G6" s="57"/>
      <c r="H6" s="64"/>
      <c r="I6" s="64"/>
      <c r="J6" s="64"/>
      <c r="K6" s="4"/>
      <c r="L6" s="4"/>
      <c r="M6" s="4"/>
      <c r="N6" s="4"/>
      <c r="O6" s="5"/>
    </row>
    <row r="7" spans="1:15" ht="15.75" x14ac:dyDescent="0.25">
      <c r="A7" s="5"/>
      <c r="B7" s="51"/>
      <c r="C7" s="52" t="s">
        <v>2</v>
      </c>
      <c r="D7" s="53"/>
      <c r="E7" s="58"/>
      <c r="F7" s="59" t="s">
        <v>3</v>
      </c>
      <c r="G7" s="60"/>
      <c r="H7" s="65"/>
      <c r="I7" s="66" t="s">
        <v>4</v>
      </c>
      <c r="J7" s="67"/>
      <c r="K7" s="25" t="s">
        <v>54</v>
      </c>
      <c r="L7" s="24"/>
      <c r="M7" s="26"/>
      <c r="N7" s="5" t="s">
        <v>58</v>
      </c>
      <c r="O7" s="5" t="s">
        <v>61</v>
      </c>
    </row>
    <row r="8" spans="1:15" ht="15.75" x14ac:dyDescent="0.25">
      <c r="A8" s="5" t="s">
        <v>5</v>
      </c>
      <c r="B8" s="54" t="s">
        <v>6</v>
      </c>
      <c r="C8" s="54" t="s">
        <v>7</v>
      </c>
      <c r="D8" s="54" t="s">
        <v>8</v>
      </c>
      <c r="E8" s="61" t="s">
        <v>6</v>
      </c>
      <c r="F8" s="61" t="s">
        <v>7</v>
      </c>
      <c r="G8" s="61" t="s">
        <v>8</v>
      </c>
      <c r="H8" s="68" t="s">
        <v>6</v>
      </c>
      <c r="I8" s="68" t="s">
        <v>7</v>
      </c>
      <c r="J8" s="68" t="s">
        <v>8</v>
      </c>
      <c r="K8" s="5" t="s">
        <v>6</v>
      </c>
      <c r="L8" s="5" t="s">
        <v>7</v>
      </c>
      <c r="M8" s="5" t="s">
        <v>8</v>
      </c>
      <c r="N8" s="5"/>
      <c r="O8" s="5" t="s">
        <v>60</v>
      </c>
    </row>
    <row r="9" spans="1:15" x14ac:dyDescent="0.25">
      <c r="A9" s="6" t="s">
        <v>11</v>
      </c>
      <c r="B9" s="55">
        <f>1524+409+35+319</f>
        <v>2287</v>
      </c>
      <c r="C9" s="55">
        <f>1535+397+32+322</f>
        <v>2286</v>
      </c>
      <c r="D9" s="55">
        <f t="shared" ref="D9:D26" si="0">SUM(B9:C9)</f>
        <v>4573</v>
      </c>
      <c r="E9" s="62">
        <f>1390+661+45+300</f>
        <v>2396</v>
      </c>
      <c r="F9" s="62">
        <f>1365+463+42+316</f>
        <v>2186</v>
      </c>
      <c r="G9" s="62">
        <f t="shared" ref="G9:G21" si="1">SUM(E9:F9)</f>
        <v>4582</v>
      </c>
      <c r="H9" s="69">
        <f>1466+582+47+422</f>
        <v>2517</v>
      </c>
      <c r="I9" s="69">
        <f>1460+493+48+439</f>
        <v>2440</v>
      </c>
      <c r="J9" s="69">
        <f t="shared" ref="J9:J19" si="2">SUM(H9:I9)</f>
        <v>4957</v>
      </c>
      <c r="K9" s="17">
        <f>B9+E9+H9</f>
        <v>7200</v>
      </c>
      <c r="L9" s="17">
        <f>C9+F9+I9</f>
        <v>6912</v>
      </c>
      <c r="M9" s="17">
        <f t="shared" ref="M9:M42" si="3">SUM(K9:L9)</f>
        <v>14112</v>
      </c>
      <c r="N9" s="14">
        <v>16834</v>
      </c>
      <c r="O9" s="18">
        <f>(M9-N9)*100/N9</f>
        <v>-16.169656647261494</v>
      </c>
    </row>
    <row r="10" spans="1:15" x14ac:dyDescent="0.25">
      <c r="A10" s="6" t="s">
        <v>12</v>
      </c>
      <c r="B10" s="55">
        <f>850+94+196</f>
        <v>1140</v>
      </c>
      <c r="C10" s="55">
        <f>869+99+196</f>
        <v>1164</v>
      </c>
      <c r="D10" s="55">
        <f t="shared" si="0"/>
        <v>2304</v>
      </c>
      <c r="E10" s="62">
        <f>751+96+167</f>
        <v>1014</v>
      </c>
      <c r="F10" s="62">
        <f>750+88+42</f>
        <v>880</v>
      </c>
      <c r="G10" s="62">
        <f t="shared" si="1"/>
        <v>1894</v>
      </c>
      <c r="H10" s="69">
        <f>840+118+198</f>
        <v>1156</v>
      </c>
      <c r="I10" s="69">
        <f>851+125+198</f>
        <v>1174</v>
      </c>
      <c r="J10" s="69">
        <f t="shared" si="2"/>
        <v>2330</v>
      </c>
      <c r="K10" s="17">
        <f t="shared" ref="K10:K41" si="4">B10+E10+H10</f>
        <v>3310</v>
      </c>
      <c r="L10" s="17">
        <f t="shared" ref="L10:L41" si="5">C10+F10+I10</f>
        <v>3218</v>
      </c>
      <c r="M10" s="17">
        <f t="shared" si="3"/>
        <v>6528</v>
      </c>
      <c r="N10" s="14">
        <v>7082</v>
      </c>
      <c r="O10" s="18">
        <f t="shared" ref="O10:O42" si="6">(M10-N10)*100/N10</f>
        <v>-7.8226489692177354</v>
      </c>
    </row>
    <row r="11" spans="1:15" x14ac:dyDescent="0.25">
      <c r="A11" s="6" t="s">
        <v>13</v>
      </c>
      <c r="B11" s="55">
        <f>1493+221+510</f>
        <v>2224</v>
      </c>
      <c r="C11" s="55">
        <f>1493+221+510</f>
        <v>2224</v>
      </c>
      <c r="D11" s="55">
        <f t="shared" si="0"/>
        <v>4448</v>
      </c>
      <c r="E11" s="62">
        <f>1092+54+402</f>
        <v>1548</v>
      </c>
      <c r="F11" s="62">
        <f>1092+54+402</f>
        <v>1548</v>
      </c>
      <c r="G11" s="62">
        <f t="shared" si="1"/>
        <v>3096</v>
      </c>
      <c r="H11" s="69">
        <v>492</v>
      </c>
      <c r="I11" s="69">
        <v>492</v>
      </c>
      <c r="J11" s="69">
        <f t="shared" si="2"/>
        <v>984</v>
      </c>
      <c r="K11" s="17">
        <f t="shared" si="4"/>
        <v>4264</v>
      </c>
      <c r="L11" s="17">
        <f t="shared" si="5"/>
        <v>4264</v>
      </c>
      <c r="M11" s="17">
        <f t="shared" si="3"/>
        <v>8528</v>
      </c>
      <c r="N11" s="14">
        <v>15212</v>
      </c>
      <c r="O11" s="18">
        <f t="shared" si="6"/>
        <v>-43.93899552984486</v>
      </c>
    </row>
    <row r="12" spans="1:15" x14ac:dyDescent="0.25">
      <c r="A12" s="6" t="s">
        <v>14</v>
      </c>
      <c r="B12" s="55">
        <f>241+103</f>
        <v>344</v>
      </c>
      <c r="C12" s="55">
        <f>241+103</f>
        <v>344</v>
      </c>
      <c r="D12" s="55">
        <f t="shared" si="0"/>
        <v>688</v>
      </c>
      <c r="E12" s="62">
        <f>234+59</f>
        <v>293</v>
      </c>
      <c r="F12" s="62">
        <f>234+59</f>
        <v>293</v>
      </c>
      <c r="G12" s="62">
        <f t="shared" si="1"/>
        <v>586</v>
      </c>
      <c r="H12" s="69">
        <v>77</v>
      </c>
      <c r="I12" s="69">
        <v>77</v>
      </c>
      <c r="J12" s="69">
        <f t="shared" si="2"/>
        <v>154</v>
      </c>
      <c r="K12" s="17">
        <f t="shared" si="4"/>
        <v>714</v>
      </c>
      <c r="L12" s="17">
        <f t="shared" si="5"/>
        <v>714</v>
      </c>
      <c r="M12" s="17">
        <f t="shared" si="3"/>
        <v>1428</v>
      </c>
      <c r="N12" s="14">
        <v>2486</v>
      </c>
      <c r="O12" s="18">
        <f t="shared" si="6"/>
        <v>-42.558326629123087</v>
      </c>
    </row>
    <row r="13" spans="1:15" x14ac:dyDescent="0.25">
      <c r="A13" s="6" t="s">
        <v>15</v>
      </c>
      <c r="B13" s="55">
        <f>460+210</f>
        <v>670</v>
      </c>
      <c r="C13" s="55">
        <f>460+215</f>
        <v>675</v>
      </c>
      <c r="D13" s="55">
        <f t="shared" si="0"/>
        <v>1345</v>
      </c>
      <c r="E13" s="62">
        <f>430+226</f>
        <v>656</v>
      </c>
      <c r="F13" s="62">
        <f>431+217+26</f>
        <v>674</v>
      </c>
      <c r="G13" s="62">
        <f t="shared" si="1"/>
        <v>1330</v>
      </c>
      <c r="H13" s="69">
        <f>430+272+28</f>
        <v>730</v>
      </c>
      <c r="I13" s="69">
        <f>430+264+25</f>
        <v>719</v>
      </c>
      <c r="J13" s="69">
        <f t="shared" si="2"/>
        <v>1449</v>
      </c>
      <c r="K13" s="17">
        <f t="shared" si="4"/>
        <v>2056</v>
      </c>
      <c r="L13" s="17">
        <f t="shared" si="5"/>
        <v>2068</v>
      </c>
      <c r="M13" s="17">
        <f t="shared" si="3"/>
        <v>4124</v>
      </c>
      <c r="N13" s="14">
        <v>5518</v>
      </c>
      <c r="O13" s="18">
        <f t="shared" si="6"/>
        <v>-25.262776368249366</v>
      </c>
    </row>
    <row r="14" spans="1:15" x14ac:dyDescent="0.25">
      <c r="A14" s="6" t="s">
        <v>16</v>
      </c>
      <c r="B14" s="55">
        <f>57+32</f>
        <v>89</v>
      </c>
      <c r="C14" s="55">
        <f>57+32</f>
        <v>89</v>
      </c>
      <c r="D14" s="55">
        <f t="shared" si="0"/>
        <v>178</v>
      </c>
      <c r="E14" s="62">
        <v>47</v>
      </c>
      <c r="F14" s="62">
        <v>50</v>
      </c>
      <c r="G14" s="62">
        <f t="shared" si="1"/>
        <v>97</v>
      </c>
      <c r="H14" s="69">
        <f>53+7</f>
        <v>60</v>
      </c>
      <c r="I14" s="69">
        <f>55+14</f>
        <v>69</v>
      </c>
      <c r="J14" s="69">
        <f t="shared" si="2"/>
        <v>129</v>
      </c>
      <c r="K14" s="17">
        <f t="shared" si="4"/>
        <v>196</v>
      </c>
      <c r="L14" s="17">
        <f t="shared" si="5"/>
        <v>208</v>
      </c>
      <c r="M14" s="17">
        <f t="shared" si="3"/>
        <v>404</v>
      </c>
      <c r="N14" s="14">
        <v>560</v>
      </c>
      <c r="O14" s="18">
        <f t="shared" si="6"/>
        <v>-27.857142857142858</v>
      </c>
    </row>
    <row r="15" spans="1:15" x14ac:dyDescent="0.25">
      <c r="A15" s="6" t="s">
        <v>17</v>
      </c>
      <c r="B15" s="55">
        <f>102+22</f>
        <v>124</v>
      </c>
      <c r="C15" s="55">
        <f>102+20</f>
        <v>122</v>
      </c>
      <c r="D15" s="55">
        <f t="shared" si="0"/>
        <v>246</v>
      </c>
      <c r="E15" s="62">
        <f>89+25</f>
        <v>114</v>
      </c>
      <c r="F15" s="62">
        <f>92+49</f>
        <v>141</v>
      </c>
      <c r="G15" s="62">
        <f t="shared" si="1"/>
        <v>255</v>
      </c>
      <c r="H15" s="69">
        <f>91+45</f>
        <v>136</v>
      </c>
      <c r="I15" s="69">
        <f>91+44</f>
        <v>135</v>
      </c>
      <c r="J15" s="69">
        <f t="shared" si="2"/>
        <v>271</v>
      </c>
      <c r="K15" s="17">
        <f t="shared" si="4"/>
        <v>374</v>
      </c>
      <c r="L15" s="17">
        <f t="shared" si="5"/>
        <v>398</v>
      </c>
      <c r="M15" s="17">
        <f t="shared" si="3"/>
        <v>772</v>
      </c>
      <c r="N15" s="14">
        <v>1426</v>
      </c>
      <c r="O15" s="18">
        <f t="shared" si="6"/>
        <v>-45.862552594670404</v>
      </c>
    </row>
    <row r="16" spans="1:15" x14ac:dyDescent="0.25">
      <c r="A16" s="6" t="s">
        <v>18</v>
      </c>
      <c r="B16" s="55">
        <f>48+3+12</f>
        <v>63</v>
      </c>
      <c r="C16" s="55">
        <f>47+2+12</f>
        <v>61</v>
      </c>
      <c r="D16" s="55">
        <f t="shared" si="0"/>
        <v>124</v>
      </c>
      <c r="E16" s="62">
        <f>45+2+12</f>
        <v>59</v>
      </c>
      <c r="F16" s="62">
        <f>46+2+12</f>
        <v>60</v>
      </c>
      <c r="G16" s="62">
        <f t="shared" si="1"/>
        <v>119</v>
      </c>
      <c r="H16" s="69">
        <f>49+9+13</f>
        <v>71</v>
      </c>
      <c r="I16" s="69">
        <f>50+8+13</f>
        <v>71</v>
      </c>
      <c r="J16" s="69">
        <f t="shared" si="2"/>
        <v>142</v>
      </c>
      <c r="K16" s="17">
        <f t="shared" si="4"/>
        <v>193</v>
      </c>
      <c r="L16" s="17">
        <f t="shared" si="5"/>
        <v>192</v>
      </c>
      <c r="M16" s="17">
        <f t="shared" si="3"/>
        <v>385</v>
      </c>
      <c r="N16" s="14">
        <v>547</v>
      </c>
      <c r="O16" s="18">
        <f t="shared" si="6"/>
        <v>-29.616087751371115</v>
      </c>
    </row>
    <row r="17" spans="1:15" x14ac:dyDescent="0.25">
      <c r="A17" s="6" t="s">
        <v>19</v>
      </c>
      <c r="B17" s="55">
        <f>122+31</f>
        <v>153</v>
      </c>
      <c r="C17" s="55">
        <f>147+30</f>
        <v>177</v>
      </c>
      <c r="D17" s="55">
        <f t="shared" si="0"/>
        <v>330</v>
      </c>
      <c r="E17" s="62">
        <f>119+39</f>
        <v>158</v>
      </c>
      <c r="F17" s="62">
        <f>110+38</f>
        <v>148</v>
      </c>
      <c r="G17" s="62">
        <f t="shared" si="1"/>
        <v>306</v>
      </c>
      <c r="H17" s="69">
        <f>107+47</f>
        <v>154</v>
      </c>
      <c r="I17" s="69">
        <f>111+44</f>
        <v>155</v>
      </c>
      <c r="J17" s="69">
        <f t="shared" si="2"/>
        <v>309</v>
      </c>
      <c r="K17" s="17">
        <f t="shared" si="4"/>
        <v>465</v>
      </c>
      <c r="L17" s="17">
        <f t="shared" si="5"/>
        <v>480</v>
      </c>
      <c r="M17" s="17">
        <f t="shared" si="3"/>
        <v>945</v>
      </c>
      <c r="N17" s="14">
        <v>1520</v>
      </c>
      <c r="O17" s="18">
        <f t="shared" si="6"/>
        <v>-37.828947368421055</v>
      </c>
    </row>
    <row r="18" spans="1:15" x14ac:dyDescent="0.25">
      <c r="A18" s="6" t="s">
        <v>20</v>
      </c>
      <c r="B18" s="55">
        <v>14</v>
      </c>
      <c r="C18" s="55">
        <v>14</v>
      </c>
      <c r="D18" s="55">
        <f t="shared" si="0"/>
        <v>28</v>
      </c>
      <c r="E18" s="62">
        <v>16</v>
      </c>
      <c r="F18" s="62">
        <v>16</v>
      </c>
      <c r="G18" s="62">
        <f t="shared" si="1"/>
        <v>32</v>
      </c>
      <c r="H18" s="69">
        <v>14</v>
      </c>
      <c r="I18" s="69">
        <v>14</v>
      </c>
      <c r="J18" s="69">
        <f t="shared" si="2"/>
        <v>28</v>
      </c>
      <c r="K18" s="17">
        <f t="shared" si="4"/>
        <v>44</v>
      </c>
      <c r="L18" s="17">
        <f t="shared" si="5"/>
        <v>44</v>
      </c>
      <c r="M18" s="17">
        <f t="shared" si="3"/>
        <v>88</v>
      </c>
      <c r="N18" s="14">
        <v>78</v>
      </c>
      <c r="O18" s="18">
        <f t="shared" si="6"/>
        <v>12.820512820512821</v>
      </c>
    </row>
    <row r="19" spans="1:15" x14ac:dyDescent="0.25">
      <c r="A19" s="6" t="s">
        <v>21</v>
      </c>
      <c r="B19" s="55">
        <v>0</v>
      </c>
      <c r="C19" s="55">
        <v>0</v>
      </c>
      <c r="D19" s="55">
        <f t="shared" si="0"/>
        <v>0</v>
      </c>
      <c r="E19" s="62">
        <v>0</v>
      </c>
      <c r="F19" s="62">
        <v>0</v>
      </c>
      <c r="G19" s="62">
        <f t="shared" si="1"/>
        <v>0</v>
      </c>
      <c r="H19" s="69">
        <v>0</v>
      </c>
      <c r="I19" s="69">
        <v>0</v>
      </c>
      <c r="J19" s="69">
        <f t="shared" si="2"/>
        <v>0</v>
      </c>
      <c r="K19" s="17">
        <f t="shared" si="4"/>
        <v>0</v>
      </c>
      <c r="L19" s="17">
        <f t="shared" si="5"/>
        <v>0</v>
      </c>
      <c r="M19" s="17">
        <f t="shared" si="3"/>
        <v>0</v>
      </c>
      <c r="N19" s="14">
        <v>1388</v>
      </c>
      <c r="O19" s="18">
        <f t="shared" si="6"/>
        <v>-100</v>
      </c>
    </row>
    <row r="20" spans="1:15" x14ac:dyDescent="0.25">
      <c r="A20" s="6" t="s">
        <v>22</v>
      </c>
      <c r="B20" s="55">
        <f>54+36</f>
        <v>90</v>
      </c>
      <c r="C20" s="55">
        <f>52+33</f>
        <v>85</v>
      </c>
      <c r="D20" s="55">
        <f t="shared" si="0"/>
        <v>175</v>
      </c>
      <c r="E20" s="62">
        <f>52+51</f>
        <v>103</v>
      </c>
      <c r="F20" s="62">
        <f>52+48</f>
        <v>100</v>
      </c>
      <c r="G20" s="62">
        <f t="shared" si="1"/>
        <v>203</v>
      </c>
      <c r="H20" s="69"/>
      <c r="I20" s="69"/>
      <c r="J20" s="69"/>
      <c r="K20" s="17">
        <f t="shared" si="4"/>
        <v>193</v>
      </c>
      <c r="L20" s="17">
        <f t="shared" si="5"/>
        <v>185</v>
      </c>
      <c r="M20" s="17">
        <f t="shared" si="3"/>
        <v>378</v>
      </c>
      <c r="N20" s="14">
        <v>544</v>
      </c>
      <c r="O20" s="18">
        <f t="shared" si="6"/>
        <v>-30.514705882352942</v>
      </c>
    </row>
    <row r="21" spans="1:15" x14ac:dyDescent="0.25">
      <c r="A21" s="6" t="s">
        <v>23</v>
      </c>
      <c r="B21" s="55">
        <v>0</v>
      </c>
      <c r="C21" s="55">
        <v>0</v>
      </c>
      <c r="D21" s="55">
        <f t="shared" si="0"/>
        <v>0</v>
      </c>
      <c r="E21" s="62">
        <v>0</v>
      </c>
      <c r="F21" s="62">
        <v>0</v>
      </c>
      <c r="G21" s="62">
        <f t="shared" si="1"/>
        <v>0</v>
      </c>
      <c r="H21" s="69"/>
      <c r="I21" s="69"/>
      <c r="J21" s="69"/>
      <c r="K21" s="17">
        <f t="shared" si="4"/>
        <v>0</v>
      </c>
      <c r="L21" s="17">
        <f t="shared" si="5"/>
        <v>0</v>
      </c>
      <c r="M21" s="17">
        <f t="shared" si="3"/>
        <v>0</v>
      </c>
      <c r="N21" s="14">
        <v>11</v>
      </c>
      <c r="O21" s="18">
        <f t="shared" si="6"/>
        <v>-100</v>
      </c>
    </row>
    <row r="22" spans="1:15" x14ac:dyDescent="0.25">
      <c r="A22" s="6" t="s">
        <v>24</v>
      </c>
      <c r="B22" s="55">
        <f>73+6</f>
        <v>79</v>
      </c>
      <c r="C22" s="55">
        <f>73+6</f>
        <v>79</v>
      </c>
      <c r="D22" s="55">
        <f t="shared" si="0"/>
        <v>158</v>
      </c>
      <c r="E22" s="62"/>
      <c r="F22" s="62"/>
      <c r="G22" s="62"/>
      <c r="H22" s="69">
        <f>76+15</f>
        <v>91</v>
      </c>
      <c r="I22" s="69">
        <f>76+15</f>
        <v>91</v>
      </c>
      <c r="J22" s="69">
        <f>SUM(H22:I22)</f>
        <v>182</v>
      </c>
      <c r="K22" s="17">
        <f t="shared" si="4"/>
        <v>170</v>
      </c>
      <c r="L22" s="17">
        <f t="shared" si="5"/>
        <v>170</v>
      </c>
      <c r="M22" s="17">
        <f t="shared" si="3"/>
        <v>340</v>
      </c>
      <c r="N22" s="14">
        <v>860</v>
      </c>
      <c r="O22" s="18">
        <f t="shared" si="6"/>
        <v>-60.465116279069768</v>
      </c>
    </row>
    <row r="23" spans="1:15" x14ac:dyDescent="0.25">
      <c r="A23" s="6" t="s">
        <v>25</v>
      </c>
      <c r="B23" s="55">
        <v>0</v>
      </c>
      <c r="C23" s="55">
        <v>0</v>
      </c>
      <c r="D23" s="55">
        <f t="shared" si="0"/>
        <v>0</v>
      </c>
      <c r="E23" s="62"/>
      <c r="F23" s="62"/>
      <c r="G23" s="62"/>
      <c r="H23" s="69">
        <v>0</v>
      </c>
      <c r="I23" s="69">
        <v>0</v>
      </c>
      <c r="J23" s="69">
        <f>SUM(H23:I23)</f>
        <v>0</v>
      </c>
      <c r="K23" s="17">
        <f t="shared" si="4"/>
        <v>0</v>
      </c>
      <c r="L23" s="17">
        <f t="shared" si="5"/>
        <v>0</v>
      </c>
      <c r="M23" s="17">
        <f t="shared" si="3"/>
        <v>0</v>
      </c>
      <c r="N23" s="14">
        <v>0</v>
      </c>
      <c r="O23" s="18">
        <v>0</v>
      </c>
    </row>
    <row r="24" spans="1:15" x14ac:dyDescent="0.25">
      <c r="A24" s="6" t="s">
        <v>26</v>
      </c>
      <c r="B24" s="55">
        <f>14+23</f>
        <v>37</v>
      </c>
      <c r="C24" s="55">
        <f>14+23</f>
        <v>37</v>
      </c>
      <c r="D24" s="55">
        <f t="shared" si="0"/>
        <v>74</v>
      </c>
      <c r="E24" s="62"/>
      <c r="F24" s="62"/>
      <c r="G24" s="62"/>
      <c r="H24" s="69"/>
      <c r="I24" s="69"/>
      <c r="J24" s="69"/>
      <c r="K24" s="17">
        <f t="shared" si="4"/>
        <v>37</v>
      </c>
      <c r="L24" s="17">
        <f t="shared" si="5"/>
        <v>37</v>
      </c>
      <c r="M24" s="17">
        <f t="shared" si="3"/>
        <v>74</v>
      </c>
      <c r="N24" s="14">
        <v>498</v>
      </c>
      <c r="O24" s="18">
        <f t="shared" si="6"/>
        <v>-85.140562248995991</v>
      </c>
    </row>
    <row r="25" spans="1:15" x14ac:dyDescent="0.25">
      <c r="A25" s="6" t="s">
        <v>27</v>
      </c>
      <c r="B25" s="55">
        <v>0</v>
      </c>
      <c r="C25" s="55">
        <v>0</v>
      </c>
      <c r="D25" s="55">
        <f t="shared" si="0"/>
        <v>0</v>
      </c>
      <c r="E25" s="62"/>
      <c r="F25" s="62"/>
      <c r="G25" s="62"/>
      <c r="H25" s="69"/>
      <c r="I25" s="69"/>
      <c r="J25" s="69"/>
      <c r="K25" s="17">
        <f t="shared" si="4"/>
        <v>0</v>
      </c>
      <c r="L25" s="17">
        <f t="shared" si="5"/>
        <v>0</v>
      </c>
      <c r="M25" s="17">
        <f t="shared" si="3"/>
        <v>0</v>
      </c>
      <c r="N25" s="14">
        <v>0</v>
      </c>
      <c r="O25" s="18">
        <v>0</v>
      </c>
    </row>
    <row r="26" spans="1:15" x14ac:dyDescent="0.25">
      <c r="A26" s="6" t="s">
        <v>28</v>
      </c>
      <c r="B26" s="55">
        <f>98+36</f>
        <v>134</v>
      </c>
      <c r="C26" s="55">
        <f>98+36</f>
        <v>134</v>
      </c>
      <c r="D26" s="55">
        <f t="shared" si="0"/>
        <v>268</v>
      </c>
      <c r="E26" s="62">
        <f>91+61</f>
        <v>152</v>
      </c>
      <c r="F26" s="62">
        <f>91+57</f>
        <v>148</v>
      </c>
      <c r="G26" s="62">
        <f>SUM(E26:F26)</f>
        <v>300</v>
      </c>
      <c r="H26" s="69">
        <f>113+74</f>
        <v>187</v>
      </c>
      <c r="I26" s="69">
        <f>113+74</f>
        <v>187</v>
      </c>
      <c r="J26" s="69">
        <f>SUM(H26:I26)</f>
        <v>374</v>
      </c>
      <c r="K26" s="17">
        <f t="shared" si="4"/>
        <v>473</v>
      </c>
      <c r="L26" s="17">
        <f t="shared" si="5"/>
        <v>469</v>
      </c>
      <c r="M26" s="17">
        <f t="shared" si="3"/>
        <v>942</v>
      </c>
      <c r="N26" s="14">
        <v>785</v>
      </c>
      <c r="O26" s="18">
        <f t="shared" si="6"/>
        <v>20</v>
      </c>
    </row>
    <row r="27" spans="1:15" x14ac:dyDescent="0.25">
      <c r="A27" s="6" t="s">
        <v>29</v>
      </c>
      <c r="B27" s="55"/>
      <c r="C27" s="55"/>
      <c r="D27" s="55"/>
      <c r="E27" s="62"/>
      <c r="F27" s="62"/>
      <c r="G27" s="62"/>
      <c r="H27" s="69"/>
      <c r="I27" s="69"/>
      <c r="J27" s="69"/>
      <c r="K27" s="17">
        <f t="shared" si="4"/>
        <v>0</v>
      </c>
      <c r="L27" s="17">
        <f t="shared" si="5"/>
        <v>0</v>
      </c>
      <c r="M27" s="17">
        <f t="shared" si="3"/>
        <v>0</v>
      </c>
      <c r="N27" s="14">
        <v>887</v>
      </c>
      <c r="O27" s="18">
        <f t="shared" si="6"/>
        <v>-100</v>
      </c>
    </row>
    <row r="28" spans="1:15" x14ac:dyDescent="0.25">
      <c r="A28" s="6" t="s">
        <v>30</v>
      </c>
      <c r="B28" s="55"/>
      <c r="C28" s="55"/>
      <c r="D28" s="55"/>
      <c r="E28" s="62"/>
      <c r="F28" s="62"/>
      <c r="G28" s="62"/>
      <c r="H28" s="69"/>
      <c r="I28" s="69"/>
      <c r="J28" s="69"/>
      <c r="K28" s="17">
        <f t="shared" si="4"/>
        <v>0</v>
      </c>
      <c r="L28" s="17">
        <f t="shared" si="5"/>
        <v>0</v>
      </c>
      <c r="M28" s="17">
        <f t="shared" si="3"/>
        <v>0</v>
      </c>
      <c r="N28" s="14">
        <v>0</v>
      </c>
      <c r="O28" s="18">
        <v>0</v>
      </c>
    </row>
    <row r="29" spans="1:15" x14ac:dyDescent="0.25">
      <c r="A29" s="6" t="s">
        <v>31</v>
      </c>
      <c r="B29" s="55">
        <f>18+9</f>
        <v>27</v>
      </c>
      <c r="C29" s="55">
        <f>18+9</f>
        <v>27</v>
      </c>
      <c r="D29" s="55">
        <f>SUM(B29:C29)</f>
        <v>54</v>
      </c>
      <c r="E29" s="62">
        <f>18+14</f>
        <v>32</v>
      </c>
      <c r="F29" s="62">
        <f>18+14</f>
        <v>32</v>
      </c>
      <c r="G29" s="62">
        <f t="shared" ref="G29:G41" si="7">SUM(E29:F29)</f>
        <v>64</v>
      </c>
      <c r="H29" s="69">
        <f>24+32</f>
        <v>56</v>
      </c>
      <c r="I29" s="69">
        <f>24+32</f>
        <v>56</v>
      </c>
      <c r="J29" s="69">
        <f>SUM(H29:I29)</f>
        <v>112</v>
      </c>
      <c r="K29" s="17">
        <f t="shared" si="4"/>
        <v>115</v>
      </c>
      <c r="L29" s="17">
        <f t="shared" si="5"/>
        <v>115</v>
      </c>
      <c r="M29" s="17">
        <f t="shared" si="3"/>
        <v>230</v>
      </c>
      <c r="N29" s="14">
        <v>246</v>
      </c>
      <c r="O29" s="18">
        <f t="shared" si="6"/>
        <v>-6.5040650406504064</v>
      </c>
    </row>
    <row r="30" spans="1:15" x14ac:dyDescent="0.25">
      <c r="A30" s="6" t="s">
        <v>32</v>
      </c>
      <c r="B30" s="55">
        <f>177+31</f>
        <v>208</v>
      </c>
      <c r="C30" s="55">
        <f>177+31</f>
        <v>208</v>
      </c>
      <c r="D30" s="55">
        <f>SUM(B30:C30)</f>
        <v>416</v>
      </c>
      <c r="E30" s="62">
        <f>171+58</f>
        <v>229</v>
      </c>
      <c r="F30" s="62">
        <f>171+58</f>
        <v>229</v>
      </c>
      <c r="G30" s="62">
        <f t="shared" si="7"/>
        <v>458</v>
      </c>
      <c r="H30" s="69"/>
      <c r="I30" s="69"/>
      <c r="J30" s="69"/>
      <c r="K30" s="17">
        <f t="shared" si="4"/>
        <v>437</v>
      </c>
      <c r="L30" s="17">
        <f t="shared" si="5"/>
        <v>437</v>
      </c>
      <c r="M30" s="17">
        <f t="shared" si="3"/>
        <v>874</v>
      </c>
      <c r="N30" s="14">
        <v>1574</v>
      </c>
      <c r="O30" s="18">
        <f t="shared" si="6"/>
        <v>-44.472681067344347</v>
      </c>
    </row>
    <row r="31" spans="1:15" x14ac:dyDescent="0.25">
      <c r="A31" s="6" t="s">
        <v>33</v>
      </c>
      <c r="B31" s="55"/>
      <c r="C31" s="55"/>
      <c r="D31" s="55"/>
      <c r="E31" s="62">
        <f>44+19</f>
        <v>63</v>
      </c>
      <c r="F31" s="62">
        <f>44+19</f>
        <v>63</v>
      </c>
      <c r="G31" s="62">
        <f t="shared" si="7"/>
        <v>126</v>
      </c>
      <c r="H31" s="69">
        <f>48+44</f>
        <v>92</v>
      </c>
      <c r="I31" s="69">
        <f>48+44</f>
        <v>92</v>
      </c>
      <c r="J31" s="69">
        <f>SUM(H31:I31)</f>
        <v>184</v>
      </c>
      <c r="K31" s="17">
        <f t="shared" si="4"/>
        <v>155</v>
      </c>
      <c r="L31" s="17">
        <f t="shared" si="5"/>
        <v>155</v>
      </c>
      <c r="M31" s="17">
        <f t="shared" si="3"/>
        <v>310</v>
      </c>
      <c r="N31" s="14">
        <v>690</v>
      </c>
      <c r="O31" s="18">
        <f t="shared" si="6"/>
        <v>-55.072463768115945</v>
      </c>
    </row>
    <row r="32" spans="1:15" x14ac:dyDescent="0.25">
      <c r="A32" s="6" t="s">
        <v>34</v>
      </c>
      <c r="B32" s="55"/>
      <c r="C32" s="55"/>
      <c r="D32" s="55"/>
      <c r="E32" s="62">
        <v>0</v>
      </c>
      <c r="F32" s="62">
        <v>0</v>
      </c>
      <c r="G32" s="62">
        <f t="shared" si="7"/>
        <v>0</v>
      </c>
      <c r="H32" s="69">
        <v>2</v>
      </c>
      <c r="I32" s="69">
        <v>2</v>
      </c>
      <c r="J32" s="69">
        <f>SUM(H32:I32)</f>
        <v>4</v>
      </c>
      <c r="K32" s="17">
        <f t="shared" si="4"/>
        <v>2</v>
      </c>
      <c r="L32" s="17">
        <f t="shared" si="5"/>
        <v>2</v>
      </c>
      <c r="M32" s="17">
        <f t="shared" si="3"/>
        <v>4</v>
      </c>
      <c r="N32" s="14">
        <v>0</v>
      </c>
      <c r="O32" s="18">
        <v>0</v>
      </c>
    </row>
    <row r="33" spans="1:15" x14ac:dyDescent="0.25">
      <c r="A33" s="6" t="s">
        <v>35</v>
      </c>
      <c r="B33" s="55">
        <f>74+14</f>
        <v>88</v>
      </c>
      <c r="C33" s="55">
        <f>74+14</f>
        <v>88</v>
      </c>
      <c r="D33" s="55">
        <f t="shared" ref="D33:D42" si="8">SUM(B33:C33)</f>
        <v>176</v>
      </c>
      <c r="E33" s="62">
        <f>71+15</f>
        <v>86</v>
      </c>
      <c r="F33" s="62">
        <f>71+15</f>
        <v>86</v>
      </c>
      <c r="G33" s="62">
        <f t="shared" si="7"/>
        <v>172</v>
      </c>
      <c r="H33" s="69">
        <f>75+14</f>
        <v>89</v>
      </c>
      <c r="I33" s="69">
        <f>75+14</f>
        <v>89</v>
      </c>
      <c r="J33" s="69">
        <f>SUM(H33:I33)</f>
        <v>178</v>
      </c>
      <c r="K33" s="17">
        <f t="shared" si="4"/>
        <v>263</v>
      </c>
      <c r="L33" s="17">
        <f t="shared" si="5"/>
        <v>263</v>
      </c>
      <c r="M33" s="17">
        <f t="shared" si="3"/>
        <v>526</v>
      </c>
      <c r="N33" s="14">
        <v>648</v>
      </c>
      <c r="O33" s="18">
        <f t="shared" si="6"/>
        <v>-18.827160493827162</v>
      </c>
    </row>
    <row r="34" spans="1:15" x14ac:dyDescent="0.25">
      <c r="A34" s="6" t="s">
        <v>36</v>
      </c>
      <c r="B34" s="55">
        <v>0</v>
      </c>
      <c r="C34" s="55">
        <v>0</v>
      </c>
      <c r="D34" s="55">
        <f t="shared" si="8"/>
        <v>0</v>
      </c>
      <c r="E34" s="62">
        <v>0</v>
      </c>
      <c r="F34" s="62">
        <v>0</v>
      </c>
      <c r="G34" s="62">
        <f t="shared" si="7"/>
        <v>0</v>
      </c>
      <c r="H34" s="69">
        <v>0</v>
      </c>
      <c r="I34" s="69">
        <v>0</v>
      </c>
      <c r="J34" s="69">
        <f>SUM(H34:I34)</f>
        <v>0</v>
      </c>
      <c r="K34" s="17">
        <f t="shared" si="4"/>
        <v>0</v>
      </c>
      <c r="L34" s="17">
        <f t="shared" si="5"/>
        <v>0</v>
      </c>
      <c r="M34" s="17">
        <f t="shared" si="3"/>
        <v>0</v>
      </c>
      <c r="N34" s="14">
        <v>0</v>
      </c>
      <c r="O34" s="18">
        <v>0</v>
      </c>
    </row>
    <row r="35" spans="1:15" x14ac:dyDescent="0.25">
      <c r="A35" s="6" t="s">
        <v>37</v>
      </c>
      <c r="B35" s="55">
        <f>47+66</f>
        <v>113</v>
      </c>
      <c r="C35" s="55">
        <f>47+66</f>
        <v>113</v>
      </c>
      <c r="D35" s="55">
        <f t="shared" si="8"/>
        <v>226</v>
      </c>
      <c r="E35" s="62">
        <f>49+12</f>
        <v>61</v>
      </c>
      <c r="F35" s="62">
        <f>49+12</f>
        <v>61</v>
      </c>
      <c r="G35" s="62">
        <f t="shared" si="7"/>
        <v>122</v>
      </c>
      <c r="H35" s="69">
        <f>63+25</f>
        <v>88</v>
      </c>
      <c r="I35" s="69">
        <f>63+25</f>
        <v>88</v>
      </c>
      <c r="J35" s="69">
        <f>SUM(H35:I35)</f>
        <v>176</v>
      </c>
      <c r="K35" s="17">
        <f t="shared" si="4"/>
        <v>262</v>
      </c>
      <c r="L35" s="17">
        <f t="shared" si="5"/>
        <v>262</v>
      </c>
      <c r="M35" s="17">
        <f t="shared" si="3"/>
        <v>524</v>
      </c>
      <c r="N35" s="14"/>
      <c r="O35" s="18"/>
    </row>
    <row r="36" spans="1:15" x14ac:dyDescent="0.25">
      <c r="A36" s="6" t="s">
        <v>38</v>
      </c>
      <c r="B36" s="55">
        <v>26</v>
      </c>
      <c r="C36" s="55">
        <v>26</v>
      </c>
      <c r="D36" s="55">
        <f t="shared" si="8"/>
        <v>52</v>
      </c>
      <c r="E36" s="62">
        <v>23</v>
      </c>
      <c r="F36" s="62">
        <v>23</v>
      </c>
      <c r="G36" s="62">
        <f t="shared" si="7"/>
        <v>46</v>
      </c>
      <c r="H36" s="69"/>
      <c r="I36" s="69"/>
      <c r="J36" s="69"/>
      <c r="K36" s="17">
        <f t="shared" si="4"/>
        <v>49</v>
      </c>
      <c r="L36" s="17">
        <f t="shared" si="5"/>
        <v>49</v>
      </c>
      <c r="M36" s="17">
        <f t="shared" si="3"/>
        <v>98</v>
      </c>
      <c r="N36" s="14">
        <v>130</v>
      </c>
      <c r="O36" s="18">
        <f t="shared" si="6"/>
        <v>-24.615384615384617</v>
      </c>
    </row>
    <row r="37" spans="1:15" x14ac:dyDescent="0.25">
      <c r="A37" s="6" t="s">
        <v>39</v>
      </c>
      <c r="B37" s="55">
        <v>0</v>
      </c>
      <c r="C37" s="55">
        <v>0</v>
      </c>
      <c r="D37" s="55">
        <f t="shared" si="8"/>
        <v>0</v>
      </c>
      <c r="E37" s="62">
        <v>0</v>
      </c>
      <c r="F37" s="62">
        <v>0</v>
      </c>
      <c r="G37" s="62">
        <f t="shared" si="7"/>
        <v>0</v>
      </c>
      <c r="H37" s="69"/>
      <c r="I37" s="69"/>
      <c r="J37" s="69"/>
      <c r="K37" s="17">
        <f t="shared" si="4"/>
        <v>0</v>
      </c>
      <c r="L37" s="17">
        <f t="shared" si="5"/>
        <v>0</v>
      </c>
      <c r="M37" s="17">
        <f t="shared" si="3"/>
        <v>0</v>
      </c>
      <c r="N37" s="14">
        <v>0</v>
      </c>
      <c r="O37" s="18">
        <v>0</v>
      </c>
    </row>
    <row r="38" spans="1:15" x14ac:dyDescent="0.25">
      <c r="A38" s="6" t="s">
        <v>40</v>
      </c>
      <c r="B38" s="55">
        <f>11+21</f>
        <v>32</v>
      </c>
      <c r="C38" s="55">
        <f>11+21</f>
        <v>32</v>
      </c>
      <c r="D38" s="55">
        <f t="shared" si="8"/>
        <v>64</v>
      </c>
      <c r="E38" s="62">
        <f>9+37</f>
        <v>46</v>
      </c>
      <c r="F38" s="62">
        <f>9+36</f>
        <v>45</v>
      </c>
      <c r="G38" s="62">
        <f t="shared" si="7"/>
        <v>91</v>
      </c>
      <c r="H38" s="69">
        <v>24</v>
      </c>
      <c r="I38" s="69">
        <v>25</v>
      </c>
      <c r="J38" s="69">
        <f>SUM(H38:I38)</f>
        <v>49</v>
      </c>
      <c r="K38" s="17">
        <f t="shared" si="4"/>
        <v>102</v>
      </c>
      <c r="L38" s="17">
        <f t="shared" si="5"/>
        <v>102</v>
      </c>
      <c r="M38" s="17">
        <f t="shared" si="3"/>
        <v>204</v>
      </c>
      <c r="N38" s="14">
        <v>126</v>
      </c>
      <c r="O38" s="18">
        <f t="shared" si="6"/>
        <v>61.904761904761905</v>
      </c>
    </row>
    <row r="39" spans="1:15" x14ac:dyDescent="0.25">
      <c r="A39" s="6" t="s">
        <v>41</v>
      </c>
      <c r="B39" s="55">
        <f>17+4</f>
        <v>21</v>
      </c>
      <c r="C39" s="55">
        <f>17+4</f>
        <v>21</v>
      </c>
      <c r="D39" s="55">
        <f t="shared" si="8"/>
        <v>42</v>
      </c>
      <c r="E39" s="62">
        <f>10+4</f>
        <v>14</v>
      </c>
      <c r="F39" s="62">
        <f>10+4</f>
        <v>14</v>
      </c>
      <c r="G39" s="62">
        <f t="shared" si="7"/>
        <v>28</v>
      </c>
      <c r="H39" s="69">
        <v>5</v>
      </c>
      <c r="I39" s="69">
        <v>5</v>
      </c>
      <c r="J39" s="69">
        <v>10</v>
      </c>
      <c r="K39" s="17">
        <f t="shared" si="4"/>
        <v>40</v>
      </c>
      <c r="L39" s="17">
        <f t="shared" si="5"/>
        <v>40</v>
      </c>
      <c r="M39" s="17">
        <f t="shared" si="3"/>
        <v>80</v>
      </c>
      <c r="N39" s="14">
        <v>116</v>
      </c>
      <c r="O39" s="18">
        <f t="shared" si="6"/>
        <v>-31.03448275862069</v>
      </c>
    </row>
    <row r="40" spans="1:15" x14ac:dyDescent="0.25">
      <c r="A40" s="6" t="s">
        <v>42</v>
      </c>
      <c r="B40" s="55">
        <v>0</v>
      </c>
      <c r="C40" s="55">
        <v>0</v>
      </c>
      <c r="D40" s="55">
        <f t="shared" si="8"/>
        <v>0</v>
      </c>
      <c r="E40" s="62">
        <v>0</v>
      </c>
      <c r="F40" s="62">
        <v>0</v>
      </c>
      <c r="G40" s="62">
        <f t="shared" si="7"/>
        <v>0</v>
      </c>
      <c r="H40" s="69">
        <v>0</v>
      </c>
      <c r="I40" s="69">
        <v>0</v>
      </c>
      <c r="J40" s="69">
        <v>0</v>
      </c>
      <c r="K40" s="17">
        <f t="shared" si="4"/>
        <v>0</v>
      </c>
      <c r="L40" s="17">
        <f t="shared" si="5"/>
        <v>0</v>
      </c>
      <c r="M40" s="17">
        <f t="shared" si="3"/>
        <v>0</v>
      </c>
      <c r="N40" s="14">
        <v>0</v>
      </c>
      <c r="O40" s="18">
        <v>0</v>
      </c>
    </row>
    <row r="41" spans="1:15" x14ac:dyDescent="0.25">
      <c r="A41" s="6" t="s">
        <v>43</v>
      </c>
      <c r="B41" s="55">
        <v>2</v>
      </c>
      <c r="C41" s="55">
        <v>2</v>
      </c>
      <c r="D41" s="55">
        <f t="shared" si="8"/>
        <v>4</v>
      </c>
      <c r="E41" s="62">
        <v>0</v>
      </c>
      <c r="F41" s="62">
        <v>0</v>
      </c>
      <c r="G41" s="62">
        <f t="shared" si="7"/>
        <v>0</v>
      </c>
      <c r="H41" s="69">
        <v>15</v>
      </c>
      <c r="I41" s="69">
        <v>15</v>
      </c>
      <c r="J41" s="69">
        <f>SUM(H41:I41)</f>
        <v>30</v>
      </c>
      <c r="K41" s="17">
        <f t="shared" si="4"/>
        <v>17</v>
      </c>
      <c r="L41" s="17">
        <f t="shared" si="5"/>
        <v>17</v>
      </c>
      <c r="M41" s="17">
        <f t="shared" si="3"/>
        <v>34</v>
      </c>
      <c r="N41" s="14">
        <v>42</v>
      </c>
      <c r="O41" s="18">
        <f t="shared" si="6"/>
        <v>-19.047619047619047</v>
      </c>
    </row>
    <row r="42" spans="1:15" x14ac:dyDescent="0.25">
      <c r="A42" s="6" t="s">
        <v>9</v>
      </c>
      <c r="B42" s="55">
        <f>SUM(B9:B41)</f>
        <v>7965</v>
      </c>
      <c r="C42" s="55">
        <f>SUM(C9:C41)</f>
        <v>8008</v>
      </c>
      <c r="D42" s="55">
        <f t="shared" si="8"/>
        <v>15973</v>
      </c>
      <c r="E42" s="62">
        <f>SUM(E9:E41)</f>
        <v>7110</v>
      </c>
      <c r="F42" s="62">
        <f>SUM(F9:F41)</f>
        <v>6797</v>
      </c>
      <c r="G42" s="62">
        <f>SUM(E42:F42)</f>
        <v>13907</v>
      </c>
      <c r="H42" s="69">
        <f>SUM(H9:H41)</f>
        <v>6056</v>
      </c>
      <c r="I42" s="69">
        <f>SUM(I9:I41)</f>
        <v>5996</v>
      </c>
      <c r="J42" s="69">
        <f>SUM(H42:I42)</f>
        <v>12052</v>
      </c>
      <c r="K42" s="17">
        <f>SUM(K9:K41)</f>
        <v>21131</v>
      </c>
      <c r="L42" s="17">
        <f>SUM(L9:L41)</f>
        <v>20801</v>
      </c>
      <c r="M42" s="17">
        <f t="shared" si="3"/>
        <v>41932</v>
      </c>
      <c r="N42" s="14">
        <v>59808</v>
      </c>
      <c r="O42" s="18">
        <f t="shared" si="6"/>
        <v>-29.888978063135365</v>
      </c>
    </row>
  </sheetData>
  <mergeCells count="5">
    <mergeCell ref="A1:O1"/>
    <mergeCell ref="A2:O2"/>
    <mergeCell ref="A3:O3"/>
    <mergeCell ref="A4:O4"/>
    <mergeCell ref="K7:M7"/>
  </mergeCells>
  <pageMargins left="0.2" right="0.19" top="0.28000000000000003" bottom="0.2" header="0.19" footer="0.19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sqref="A1:XFD1"/>
    </sheetView>
  </sheetViews>
  <sheetFormatPr defaultRowHeight="15" x14ac:dyDescent="0.25"/>
  <cols>
    <col min="1" max="1" width="12.140625" customWidth="1"/>
    <col min="2" max="2" width="13.7109375" style="70" customWidth="1"/>
    <col min="3" max="3" width="12" style="70" customWidth="1"/>
    <col min="4" max="4" width="14.28515625" style="70" customWidth="1"/>
    <col min="5" max="5" width="13.140625" style="56" customWidth="1"/>
    <col min="6" max="6" width="14.28515625" style="56" customWidth="1"/>
    <col min="7" max="7" width="14.140625" style="56" customWidth="1"/>
    <col min="8" max="8" width="15.140625" style="63" customWidth="1"/>
    <col min="9" max="9" width="15.140625" style="63" bestFit="1" customWidth="1"/>
    <col min="10" max="10" width="16.140625" style="63" bestFit="1" customWidth="1"/>
    <col min="11" max="12" width="16.140625" bestFit="1" customWidth="1"/>
    <col min="13" max="13" width="14" customWidth="1"/>
    <col min="14" max="14" width="15.7109375" customWidth="1"/>
    <col min="15" max="15" width="24" customWidth="1"/>
  </cols>
  <sheetData>
    <row r="1" spans="1:15" ht="19.5" x14ac:dyDescent="0.4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9.5" x14ac:dyDescent="0.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9.5" x14ac:dyDescent="0.4">
      <c r="A3" s="22" t="s">
        <v>47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9.5" x14ac:dyDescent="0.4">
      <c r="A4" s="22" t="s">
        <v>45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8.75" x14ac:dyDescent="0.4">
      <c r="A5" s="7"/>
      <c r="B5" s="71"/>
      <c r="C5" s="71"/>
      <c r="D5" s="71"/>
      <c r="E5" s="78"/>
      <c r="F5" s="78"/>
      <c r="G5" s="78"/>
      <c r="H5" s="85"/>
      <c r="I5" s="85"/>
      <c r="J5" s="85"/>
      <c r="K5" s="7"/>
      <c r="L5" s="7"/>
      <c r="M5" s="7"/>
      <c r="N5" s="7"/>
      <c r="O5" s="7"/>
    </row>
    <row r="6" spans="1:15" ht="19.5" x14ac:dyDescent="0.4">
      <c r="A6" s="8"/>
      <c r="B6" s="72"/>
      <c r="C6" s="73" t="s">
        <v>2</v>
      </c>
      <c r="D6" s="74"/>
      <c r="E6" s="79"/>
      <c r="F6" s="80" t="s">
        <v>3</v>
      </c>
      <c r="G6" s="81"/>
      <c r="H6" s="86"/>
      <c r="I6" s="87" t="s">
        <v>4</v>
      </c>
      <c r="J6" s="88"/>
      <c r="K6" s="92" t="s">
        <v>62</v>
      </c>
      <c r="L6" s="91"/>
      <c r="M6" s="93"/>
      <c r="N6" s="8"/>
      <c r="O6" s="3" t="s">
        <v>10</v>
      </c>
    </row>
    <row r="7" spans="1:15" ht="19.5" x14ac:dyDescent="0.4">
      <c r="A7" s="8" t="s">
        <v>5</v>
      </c>
      <c r="B7" s="75" t="s">
        <v>6</v>
      </c>
      <c r="C7" s="75" t="s">
        <v>7</v>
      </c>
      <c r="D7" s="75" t="s">
        <v>8</v>
      </c>
      <c r="E7" s="82" t="s">
        <v>6</v>
      </c>
      <c r="F7" s="82" t="s">
        <v>7</v>
      </c>
      <c r="G7" s="82" t="s">
        <v>8</v>
      </c>
      <c r="H7" s="89" t="s">
        <v>6</v>
      </c>
      <c r="I7" s="89" t="s">
        <v>7</v>
      </c>
      <c r="J7" s="89" t="s">
        <v>8</v>
      </c>
      <c r="K7" s="3" t="s">
        <v>6</v>
      </c>
      <c r="L7" s="3" t="s">
        <v>7</v>
      </c>
      <c r="M7" s="3" t="s">
        <v>8</v>
      </c>
      <c r="N7" s="3" t="s">
        <v>58</v>
      </c>
      <c r="O7" s="3" t="s">
        <v>60</v>
      </c>
    </row>
    <row r="8" spans="1:15" ht="18.75" x14ac:dyDescent="0.4">
      <c r="A8" s="12" t="s">
        <v>48</v>
      </c>
      <c r="B8" s="76">
        <v>7443657.6600000001</v>
      </c>
      <c r="C8" s="76">
        <v>5125111</v>
      </c>
      <c r="D8" s="76">
        <f t="shared" ref="D8:D13" si="0">SUM(B8:C8)</f>
        <v>12568768.66</v>
      </c>
      <c r="E8" s="83">
        <v>6368638.8700000001</v>
      </c>
      <c r="F8" s="83">
        <v>4554399</v>
      </c>
      <c r="G8" s="83">
        <f t="shared" ref="G8:G13" si="1">SUM(E8:F8)</f>
        <v>10923037.870000001</v>
      </c>
      <c r="H8" s="90">
        <v>8563605.2599999998</v>
      </c>
      <c r="I8" s="90">
        <v>5387658</v>
      </c>
      <c r="J8" s="90">
        <f t="shared" ref="J8:J13" si="2">SUM(H8:I8)</f>
        <v>13951263.26</v>
      </c>
      <c r="K8" s="19">
        <f>B8+E8+H8</f>
        <v>22375901.789999999</v>
      </c>
      <c r="L8" s="19">
        <f>C8+F8+I8</f>
        <v>15067168</v>
      </c>
      <c r="M8" s="19">
        <f t="shared" ref="M8:M13" si="3">SUM(K8:L8)</f>
        <v>37443069.789999999</v>
      </c>
      <c r="N8" s="15">
        <v>38550377.079999998</v>
      </c>
      <c r="O8" s="19">
        <f>(M8-N8)*100/N8</f>
        <v>-2.8723643550933566</v>
      </c>
    </row>
    <row r="9" spans="1:15" ht="18.75" x14ac:dyDescent="0.4">
      <c r="A9" s="12" t="s">
        <v>49</v>
      </c>
      <c r="B9" s="76">
        <v>220141</v>
      </c>
      <c r="C9" s="76">
        <v>24211</v>
      </c>
      <c r="D9" s="76">
        <f t="shared" si="0"/>
        <v>244352</v>
      </c>
      <c r="E9" s="83">
        <v>189773</v>
      </c>
      <c r="F9" s="83">
        <v>19561</v>
      </c>
      <c r="G9" s="83">
        <f t="shared" si="1"/>
        <v>209334</v>
      </c>
      <c r="H9" s="90">
        <v>52075</v>
      </c>
      <c r="I9" s="90">
        <v>16384</v>
      </c>
      <c r="J9" s="90">
        <f t="shared" si="2"/>
        <v>68459</v>
      </c>
      <c r="K9" s="19">
        <f t="shared" ref="K9:K13" si="4">B9+E9+H9</f>
        <v>461989</v>
      </c>
      <c r="L9" s="19">
        <f t="shared" ref="L9:L13" si="5">C9+F9+I9</f>
        <v>60156</v>
      </c>
      <c r="M9" s="19">
        <f t="shared" si="3"/>
        <v>522145</v>
      </c>
      <c r="N9" s="15">
        <v>825007</v>
      </c>
      <c r="O9" s="19">
        <f t="shared" ref="O9:O13" si="6">(M9-N9)*100/N9</f>
        <v>-36.710233973772347</v>
      </c>
    </row>
    <row r="10" spans="1:15" ht="18.75" x14ac:dyDescent="0.4">
      <c r="A10" s="12" t="s">
        <v>50</v>
      </c>
      <c r="B10" s="76">
        <v>854797</v>
      </c>
      <c r="C10" s="76">
        <v>9334</v>
      </c>
      <c r="D10" s="76">
        <f t="shared" si="0"/>
        <v>864131</v>
      </c>
      <c r="E10" s="83">
        <v>3929</v>
      </c>
      <c r="F10" s="83">
        <v>730160</v>
      </c>
      <c r="G10" s="83">
        <f t="shared" si="1"/>
        <v>734089</v>
      </c>
      <c r="H10" s="90">
        <v>677984</v>
      </c>
      <c r="I10" s="90">
        <v>11275</v>
      </c>
      <c r="J10" s="90">
        <f t="shared" si="2"/>
        <v>689259</v>
      </c>
      <c r="K10" s="19">
        <f t="shared" si="4"/>
        <v>1536710</v>
      </c>
      <c r="L10" s="19">
        <f t="shared" si="5"/>
        <v>750769</v>
      </c>
      <c r="M10" s="19">
        <f t="shared" si="3"/>
        <v>2287479</v>
      </c>
      <c r="N10" s="15">
        <v>1163551</v>
      </c>
      <c r="O10" s="19">
        <f t="shared" si="6"/>
        <v>96.594648623051327</v>
      </c>
    </row>
    <row r="11" spans="1:15" ht="18.75" x14ac:dyDescent="0.4">
      <c r="A11" s="12" t="s">
        <v>51</v>
      </c>
      <c r="B11" s="76">
        <v>264243.09999999998</v>
      </c>
      <c r="C11" s="76">
        <f>65174.5+9351</f>
        <v>74525.5</v>
      </c>
      <c r="D11" s="76">
        <f t="shared" si="0"/>
        <v>338768.6</v>
      </c>
      <c r="E11" s="83">
        <f>216185.1</f>
        <v>216185.1</v>
      </c>
      <c r="F11" s="83">
        <f>183332+20456</f>
        <v>203788</v>
      </c>
      <c r="G11" s="83">
        <f t="shared" si="1"/>
        <v>419973.1</v>
      </c>
      <c r="H11" s="90">
        <v>266572.09999999998</v>
      </c>
      <c r="I11" s="90">
        <f>18843.4+18843</f>
        <v>37686.400000000001</v>
      </c>
      <c r="J11" s="90">
        <f t="shared" si="2"/>
        <v>304258.5</v>
      </c>
      <c r="K11" s="19">
        <f t="shared" si="4"/>
        <v>747000.29999999993</v>
      </c>
      <c r="L11" s="19">
        <f t="shared" si="5"/>
        <v>315999.90000000002</v>
      </c>
      <c r="M11" s="19">
        <f t="shared" si="3"/>
        <v>1063000.2</v>
      </c>
      <c r="N11" s="15">
        <v>1772842</v>
      </c>
      <c r="O11" s="19">
        <f t="shared" si="6"/>
        <v>-40.039766657152754</v>
      </c>
    </row>
    <row r="12" spans="1:15" ht="18.75" x14ac:dyDescent="0.4">
      <c r="A12" s="12" t="s">
        <v>19</v>
      </c>
      <c r="B12" s="76">
        <v>3221.18</v>
      </c>
      <c r="C12" s="76">
        <v>14827</v>
      </c>
      <c r="D12" s="76">
        <f t="shared" si="0"/>
        <v>18048.18</v>
      </c>
      <c r="E12" s="83">
        <v>69588.5</v>
      </c>
      <c r="F12" s="83">
        <v>21786</v>
      </c>
      <c r="G12" s="83">
        <f t="shared" si="1"/>
        <v>91374.5</v>
      </c>
      <c r="H12" s="90">
        <v>6811</v>
      </c>
      <c r="I12" s="90">
        <v>25645</v>
      </c>
      <c r="J12" s="90">
        <f t="shared" si="2"/>
        <v>32456</v>
      </c>
      <c r="K12" s="19">
        <f t="shared" si="4"/>
        <v>79620.679999999993</v>
      </c>
      <c r="L12" s="19">
        <f t="shared" si="5"/>
        <v>62258</v>
      </c>
      <c r="M12" s="19">
        <f t="shared" si="3"/>
        <v>141878.68</v>
      </c>
      <c r="N12" s="16">
        <v>0</v>
      </c>
      <c r="O12" s="19"/>
    </row>
    <row r="13" spans="1:15" s="20" customFormat="1" ht="18.75" x14ac:dyDescent="0.4">
      <c r="A13" s="12" t="s">
        <v>8</v>
      </c>
      <c r="B13" s="98">
        <f>SUM(B8:B12)</f>
        <v>8786059.9399999995</v>
      </c>
      <c r="C13" s="98">
        <f>SUM(C8:C12)</f>
        <v>5248008.5</v>
      </c>
      <c r="D13" s="98">
        <f t="shared" si="0"/>
        <v>14034068.439999999</v>
      </c>
      <c r="E13" s="99">
        <f>SUM(E8:E12)</f>
        <v>6848114.4699999997</v>
      </c>
      <c r="F13" s="99">
        <f>SUM(F8:F12)</f>
        <v>5529694</v>
      </c>
      <c r="G13" s="99">
        <f t="shared" si="1"/>
        <v>12377808.469999999</v>
      </c>
      <c r="H13" s="96">
        <f>SUM(H8:H12)</f>
        <v>9567047.3599999994</v>
      </c>
      <c r="I13" s="96">
        <f>SUM(I8:I12)</f>
        <v>5478648.4000000004</v>
      </c>
      <c r="J13" s="96">
        <f t="shared" si="2"/>
        <v>15045695.76</v>
      </c>
      <c r="K13" s="97">
        <f t="shared" si="4"/>
        <v>25201221.77</v>
      </c>
      <c r="L13" s="97">
        <f t="shared" si="5"/>
        <v>16256350.9</v>
      </c>
      <c r="M13" s="97">
        <f t="shared" si="3"/>
        <v>41457572.670000002</v>
      </c>
      <c r="N13" s="16">
        <v>42311777.079999998</v>
      </c>
      <c r="O13" s="97">
        <f t="shared" si="6"/>
        <v>-2.0188336887503673</v>
      </c>
    </row>
    <row r="15" spans="1:15" ht="18" x14ac:dyDescent="0.25">
      <c r="A15" s="23" t="s">
        <v>52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7" spans="1:15" ht="19.5" x14ac:dyDescent="0.4">
      <c r="A17" s="9"/>
      <c r="B17" s="72"/>
      <c r="C17" s="73" t="s">
        <v>2</v>
      </c>
      <c r="D17" s="74"/>
      <c r="E17" s="79"/>
      <c r="F17" s="80" t="s">
        <v>3</v>
      </c>
      <c r="G17" s="81"/>
      <c r="H17" s="86"/>
      <c r="I17" s="87" t="s">
        <v>4</v>
      </c>
      <c r="J17" s="88"/>
      <c r="K17" s="10"/>
      <c r="L17" s="13" t="s">
        <v>46</v>
      </c>
      <c r="M17" s="11"/>
      <c r="N17" s="9">
        <v>2016</v>
      </c>
      <c r="O17" s="9"/>
    </row>
    <row r="18" spans="1:15" ht="19.5" x14ac:dyDescent="0.4">
      <c r="A18" s="9" t="s">
        <v>5</v>
      </c>
      <c r="B18" s="75" t="s">
        <v>6</v>
      </c>
      <c r="C18" s="75" t="s">
        <v>7</v>
      </c>
      <c r="D18" s="75" t="s">
        <v>8</v>
      </c>
      <c r="E18" s="82" t="s">
        <v>6</v>
      </c>
      <c r="F18" s="82" t="s">
        <v>7</v>
      </c>
      <c r="G18" s="82" t="s">
        <v>8</v>
      </c>
      <c r="H18" s="89" t="s">
        <v>6</v>
      </c>
      <c r="I18" s="89" t="s">
        <v>7</v>
      </c>
      <c r="J18" s="89" t="s">
        <v>8</v>
      </c>
      <c r="K18" s="3" t="s">
        <v>6</v>
      </c>
      <c r="L18" s="3" t="s">
        <v>7</v>
      </c>
      <c r="M18" s="3" t="s">
        <v>9</v>
      </c>
      <c r="N18" s="3" t="s">
        <v>9</v>
      </c>
      <c r="O18" s="3" t="s">
        <v>60</v>
      </c>
    </row>
    <row r="19" spans="1:15" ht="18.75" x14ac:dyDescent="0.4">
      <c r="A19" s="12" t="s">
        <v>48</v>
      </c>
      <c r="B19" s="77">
        <v>926685</v>
      </c>
      <c r="C19" s="77">
        <v>810398.32</v>
      </c>
      <c r="D19" s="77">
        <f>SUM(B19:C19)</f>
        <v>1737083.3199999998</v>
      </c>
      <c r="E19" s="84">
        <v>1033326</v>
      </c>
      <c r="F19" s="84">
        <v>749689</v>
      </c>
      <c r="G19" s="84">
        <f>SUM(E19:F19)</f>
        <v>1783015</v>
      </c>
      <c r="H19" s="90">
        <v>1728195.61</v>
      </c>
      <c r="I19" s="90">
        <v>891274</v>
      </c>
      <c r="J19" s="90">
        <f>SUM(H19:I19)</f>
        <v>2619469.6100000003</v>
      </c>
      <c r="K19" s="19">
        <f>B19+E19+H19</f>
        <v>3688206.6100000003</v>
      </c>
      <c r="L19" s="19">
        <f>C19+F19+I19</f>
        <v>2451361.3199999998</v>
      </c>
      <c r="M19" s="19">
        <f>SUM(K19:L19)</f>
        <v>6139567.9299999997</v>
      </c>
      <c r="N19" s="16">
        <v>363228</v>
      </c>
      <c r="O19" s="19">
        <f>(M19-N19)*100/N19</f>
        <v>1590.2793644763069</v>
      </c>
    </row>
    <row r="20" spans="1:15" ht="18.75" x14ac:dyDescent="0.4">
      <c r="A20" s="12" t="s">
        <v>49</v>
      </c>
      <c r="B20" s="77">
        <v>58017</v>
      </c>
      <c r="C20" s="77">
        <v>88112</v>
      </c>
      <c r="D20" s="77">
        <f>SUM(B20:C20)</f>
        <v>146129</v>
      </c>
      <c r="E20" s="84">
        <v>55346</v>
      </c>
      <c r="F20" s="84">
        <v>74326</v>
      </c>
      <c r="G20" s="84">
        <f>SUM(E20:F20)</f>
        <v>129672</v>
      </c>
      <c r="H20" s="90">
        <v>29583</v>
      </c>
      <c r="I20" s="90">
        <v>21259</v>
      </c>
      <c r="J20" s="90">
        <f>SUM(H20:I20)</f>
        <v>50842</v>
      </c>
      <c r="K20" s="19">
        <f t="shared" ref="K20:K23" si="7">B20+E20+H20</f>
        <v>142946</v>
      </c>
      <c r="L20" s="19">
        <f t="shared" ref="L20:L23" si="8">C20+F20+I20</f>
        <v>183697</v>
      </c>
      <c r="M20" s="19">
        <f>SUM(K20:L20)</f>
        <v>326643</v>
      </c>
      <c r="N20" s="16">
        <v>237875</v>
      </c>
      <c r="O20" s="19">
        <f t="shared" ref="O20:O23" si="9">(M20-N20)*100/N20</f>
        <v>37.31707829742512</v>
      </c>
    </row>
    <row r="21" spans="1:15" ht="18.75" x14ac:dyDescent="0.4">
      <c r="A21" s="12" t="s">
        <v>50</v>
      </c>
      <c r="B21" s="77">
        <v>0</v>
      </c>
      <c r="C21" s="77">
        <v>0</v>
      </c>
      <c r="D21" s="77">
        <f>SUM(B21:C21)</f>
        <v>0</v>
      </c>
      <c r="E21" s="84">
        <v>0</v>
      </c>
      <c r="F21" s="84">
        <v>0</v>
      </c>
      <c r="G21" s="84">
        <f>SUM(E21:F21)</f>
        <v>0</v>
      </c>
      <c r="H21" s="90">
        <v>0</v>
      </c>
      <c r="I21" s="90">
        <v>0</v>
      </c>
      <c r="J21" s="90">
        <f>SUM(H21:I21)</f>
        <v>0</v>
      </c>
      <c r="K21" s="19">
        <f t="shared" si="7"/>
        <v>0</v>
      </c>
      <c r="L21" s="19">
        <f t="shared" si="8"/>
        <v>0</v>
      </c>
      <c r="M21" s="19">
        <f>SUM(K21:L21)</f>
        <v>0</v>
      </c>
      <c r="N21" s="16">
        <v>0</v>
      </c>
      <c r="O21" s="19">
        <v>0</v>
      </c>
    </row>
    <row r="22" spans="1:15" ht="18.75" x14ac:dyDescent="0.4">
      <c r="A22" s="12" t="s">
        <v>51</v>
      </c>
      <c r="B22" s="77">
        <v>0</v>
      </c>
      <c r="C22" s="77">
        <v>0</v>
      </c>
      <c r="D22" s="77">
        <f>SUM(B22:C22)</f>
        <v>0</v>
      </c>
      <c r="E22" s="84">
        <v>0</v>
      </c>
      <c r="F22" s="84">
        <v>0</v>
      </c>
      <c r="G22" s="84">
        <f>SUM(E22:F22)</f>
        <v>0</v>
      </c>
      <c r="H22" s="90">
        <v>0</v>
      </c>
      <c r="I22" s="90">
        <v>0</v>
      </c>
      <c r="J22" s="90">
        <f>SUM(H22:I22)</f>
        <v>0</v>
      </c>
      <c r="K22" s="19">
        <f t="shared" si="7"/>
        <v>0</v>
      </c>
      <c r="L22" s="19">
        <f t="shared" si="8"/>
        <v>0</v>
      </c>
      <c r="M22" s="19">
        <f>SUM(K22:L22)</f>
        <v>0</v>
      </c>
      <c r="N22" s="16">
        <v>4469</v>
      </c>
      <c r="O22" s="19">
        <f t="shared" si="9"/>
        <v>-100</v>
      </c>
    </row>
    <row r="23" spans="1:15" s="20" customFormat="1" ht="18.75" x14ac:dyDescent="0.4">
      <c r="A23" s="12" t="s">
        <v>8</v>
      </c>
      <c r="B23" s="94">
        <f>SUM(B19:B22)</f>
        <v>984702</v>
      </c>
      <c r="C23" s="94">
        <f>SUM(C19:C22)</f>
        <v>898510.32</v>
      </c>
      <c r="D23" s="94">
        <f>SUM(B23:C23)</f>
        <v>1883212.3199999998</v>
      </c>
      <c r="E23" s="95">
        <f>SUM(E19:E22)</f>
        <v>1088672</v>
      </c>
      <c r="F23" s="95">
        <f>SUM(F19:F22)</f>
        <v>824015</v>
      </c>
      <c r="G23" s="95">
        <f>SUM(E23:F23)</f>
        <v>1912687</v>
      </c>
      <c r="H23" s="96">
        <f>SUM(H19:H22)</f>
        <v>1757778.61</v>
      </c>
      <c r="I23" s="96">
        <f>SUM(I19:I22)</f>
        <v>912533</v>
      </c>
      <c r="J23" s="96">
        <f>SUM(H23:I23)</f>
        <v>2670311.6100000003</v>
      </c>
      <c r="K23" s="97">
        <f t="shared" si="7"/>
        <v>3831152.6100000003</v>
      </c>
      <c r="L23" s="97">
        <f t="shared" si="8"/>
        <v>2635058.3199999998</v>
      </c>
      <c r="M23" s="97">
        <f>SUM(K23:L23)</f>
        <v>6466210.9299999997</v>
      </c>
      <c r="N23" s="16">
        <v>605572</v>
      </c>
      <c r="O23" s="97">
        <f t="shared" si="9"/>
        <v>967.78565224283818</v>
      </c>
    </row>
  </sheetData>
  <mergeCells count="6">
    <mergeCell ref="A1:O1"/>
    <mergeCell ref="A2:O2"/>
    <mergeCell ref="A3:O3"/>
    <mergeCell ref="A4:O4"/>
    <mergeCell ref="A15:O15"/>
    <mergeCell ref="K6:M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Passenger Traffic</vt:lpstr>
      <vt:lpstr>Aircraft Movement</vt:lpstr>
      <vt:lpstr>Cargo</vt:lpstr>
      <vt:lpstr>'Passenger Traffic'!Print_Area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cp:lastPrinted>2017-05-15T14:36:02Z</cp:lastPrinted>
  <dcterms:created xsi:type="dcterms:W3CDTF">2017-05-03T08:37:18Z</dcterms:created>
  <dcterms:modified xsi:type="dcterms:W3CDTF">2017-05-29T09:12:01Z</dcterms:modified>
</cp:coreProperties>
</file>